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omments4.xml" ContentType="application/vnd.openxmlformats-officedocument.spreadsheetml.comments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Models\SATIMGE\SATIM\DataSpreadsheets\TCH_IND\"/>
    </mc:Choice>
  </mc:AlternateContent>
  <xr:revisionPtr revIDLastSave="0" documentId="13_ncr:1_{656D6CDC-B569-4CDB-8BB4-48B6232F1A86}" xr6:coauthVersionLast="47" xr6:coauthVersionMax="47" xr10:uidLastSave="{00000000-0000-0000-0000-000000000000}"/>
  <bookViews>
    <workbookView xWindow="-120" yWindow="-120" windowWidth="29040" windowHeight="15840" tabRatio="745" firstSheet="6" activeTab="9" xr2:uid="{4350B4AD-F5B1-48D5-BFE7-4F2C2EB2112D}"/>
  </bookViews>
  <sheets>
    <sheet name="Log" sheetId="44" r:id="rId1"/>
    <sheet name="HDRI scenario" sheetId="29" r:id="rId2"/>
    <sheet name="PAMS" sheetId="43" r:id="rId3"/>
    <sheet name="H-DRI literature and calcs" sheetId="35" r:id="rId4"/>
    <sheet name="Summary Hydrogen DRI new" sheetId="34" r:id="rId5"/>
    <sheet name="Summary Hydrogen DRI" sheetId="28" r:id="rId6"/>
    <sheet name="HDRI-Items" sheetId="30" r:id="rId7"/>
    <sheet name="HDRI-TSData" sheetId="31" r:id="rId8"/>
    <sheet name="HDRI-TIDData" sheetId="32" r:id="rId9"/>
    <sheet name="IS-Items" sheetId="39" r:id="rId10"/>
    <sheet name="IS-TSData" sheetId="40" r:id="rId11"/>
    <sheet name="IS-TIDData" sheetId="41" r:id="rId12"/>
    <sheet name="Iron &amp; Steel" sheetId="42" r:id="rId13"/>
    <sheet name="I&amp;S SATIM input" sheetId="13" r:id="rId14"/>
    <sheet name="Energy Intensity" sheetId="10" r:id="rId15"/>
    <sheet name="I&amp;S capacity + production" sheetId="2" r:id="rId16"/>
    <sheet name="Energy and Emissions" sheetId="1" r:id="rId17"/>
    <sheet name="Scrap" sheetId="15" r:id="rId18"/>
    <sheet name="Coke" sheetId="11" r:id="rId19"/>
    <sheet name="TNapp - Opex sheet" sheetId="23" r:id="rId20"/>
    <sheet name="TNapp - Capex sheet" sheetId="37" r:id="rId21"/>
    <sheet name="TNapp - I&amp;S intensity" sheetId="4" r:id="rId22"/>
    <sheet name="AMSA reports" sheetId="9" r:id="rId23"/>
    <sheet name="AcelorMittal sus report data" sheetId="7" r:id="rId24"/>
    <sheet name="AMSA - Saldanha" sheetId="5" r:id="rId25"/>
    <sheet name="AMSA - Vndbjl park" sheetId="17" r:id="rId26"/>
    <sheet name="Blast furnace JPN info" sheetId="8" r:id="rId27"/>
    <sheet name="Evraz Highveld" sheetId="6" r:id="rId28"/>
  </sheets>
  <externalReferences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</externalReferences>
  <definedNames>
    <definedName name="_AMO_RefreshMultipleList" hidden="1">"'296899469 426988102 362274166 589584065 285770244'"</definedName>
    <definedName name="_AMO_SingleObject_362274166__A1">'[1]Use table 2007 '!$A$2:$BN$121</definedName>
    <definedName name="_AMO_XmlVersion" hidden="1">"'1'"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7</definedName>
    <definedName name="_AtRisk_SimSetting_ReportsList" hidden="1">1832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8" hidden="1">'HDRI-TIDData'!$A$1:$I$62</definedName>
    <definedName name="_xlnm._FilterDatabase" localSheetId="7" hidden="1">'HDRI-TSData'!$A$1:$J$60</definedName>
    <definedName name="_xlnm._FilterDatabase" localSheetId="11" hidden="1">'IS-TIDData'!$A$1:$I$231</definedName>
    <definedName name="_xlnm._FilterDatabase" localSheetId="10" hidden="1">'IS-TSData'!$B$2:$J$287</definedName>
    <definedName name="ALswitch">[2]IND!$M$13</definedName>
    <definedName name="Cars_12" localSheetId="20">'[3]TechRep-Doc'!#REF!</definedName>
    <definedName name="Cars_12">'[3]TechRep-Doc'!#REF!</definedName>
    <definedName name="Conversions.Area.m2">'[4]Unit conversion'!$E$50:$E$55</definedName>
    <definedName name="Conversions.Area.Units">'[4]Unit conversion'!$B$50:$B$55</definedName>
    <definedName name="Conversions.Energy.Joules">'[4]Unit conversion'!$E$5:$E$25</definedName>
    <definedName name="Conversions.Energy.Units">'[4]Unit conversion'!$B$5:$B$25</definedName>
    <definedName name="Conversions.Money.GBP">'[4]Unit conversion'!$F$73:$F$80</definedName>
    <definedName name="Conversions.Money.Units">'[4]Unit conversion'!$B$73:$B$80</definedName>
    <definedName name="Conversions.Power.Units">'[4]Unit conversion'!$B$32:$B$37</definedName>
    <definedName name="Conversions.Power.Watts">'[4]Unit conversion'!$E$32:$E$37</definedName>
    <definedName name="CPI.2011" localSheetId="23">'[5]Financial Indicators'!$Y$9</definedName>
    <definedName name="CPI.2011" localSheetId="20">'[6]Financial Indicators'!$Y$9</definedName>
    <definedName name="CPI.2011" localSheetId="19">'[7]Financial Indicators'!$Y$9</definedName>
    <definedName name="CPI.2011">'[8]Financial Indicators'!$Y$9</definedName>
    <definedName name="Data_ex_fuelIDs" comment="Fuel ID list for existing techs">[9]Data!$C$33:$C$782</definedName>
    <definedName name="Data_ex_Int_yrcol" comment="Data sheet, existing tech intensity year column">[9]Data!$J$31:$AC$31</definedName>
    <definedName name="Data_ex_ProcIDs" comment="ID list for existing techs Process list">[9]Data!$B$33:$B$782</definedName>
    <definedName name="Data_exTech_IDs" comment="The ID column for existing technologies">[9]Data!$A$33:$A$782</definedName>
    <definedName name="Data_nw_FuelIDs" comment="Fuel ID list for new technologies">[9]Data!$C$798:$C$1397</definedName>
    <definedName name="Data_nw_ProcIDs" comment="ID list for process for new technologies">[9]Data!$B$798:$B$1397</definedName>
    <definedName name="Data_nw_TechIDs">[9]Data!$A$798:$A$1397</definedName>
    <definedName name="ddddd">[10]AGR_Fuels!$A$2</definedName>
    <definedName name="Deflator" localSheetId="23">'[5]Financial Indicators'!$C$25:$Z$28</definedName>
    <definedName name="Deflator" localSheetId="20">'[6]Financial Indicators'!$C$25:$Z$28</definedName>
    <definedName name="Deflator" localSheetId="19">'[7]Financial Indicators'!$C$25:$Z$28</definedName>
    <definedName name="Deflator">'[8]Financial Indicators'!$C$25:$Z$28</definedName>
    <definedName name="DISCRATE" localSheetId="20">'[3]TechRep-Doc'!#REF!</definedName>
    <definedName name="DISCRATE">'[3]TechRep-Doc'!#REF!</definedName>
    <definedName name="epp_start">#REF!</definedName>
    <definedName name="eps" localSheetId="1">[2]NameConv!$F$31</definedName>
    <definedName name="eps">[11]NameConv!$F$1</definedName>
    <definedName name="etech_data">#REF!</definedName>
    <definedName name="etech_parameters">#REF!</definedName>
    <definedName name="EXCH" localSheetId="23">'[5]Financial Indicators'!$C$12:$Y$15</definedName>
    <definedName name="EXCH" localSheetId="20">'[6]Financial Indicators'!$C$12:$Y$15</definedName>
    <definedName name="EXCH" localSheetId="19">'[7]Financial Indicators'!$C$12:$Y$15</definedName>
    <definedName name="EXCH">'[8]Financial Indicators'!$C$12:$Y$15</definedName>
    <definedName name="EXCH.year" localSheetId="23">'[5]Financial Indicators'!$D$3:$Y$3</definedName>
    <definedName name="EXCH.year" localSheetId="20">'[6]Financial Indicators'!$D$3:$Y$3</definedName>
    <definedName name="EXCH.year" localSheetId="19">'[7]Financial Indicators'!$D$3:$Y$3</definedName>
    <definedName name="EXCH.year">'[8]Financial Indicators'!$D$3:$Y$3</definedName>
    <definedName name="FID_1">[12]AGR_Fuels!$A$2</definedName>
    <definedName name="FP2i_All">[13]Footprint!$P$122</definedName>
    <definedName name="FP2i_NPE_Emis" localSheetId="1">[13]Footprint!$AB$132</definedName>
    <definedName name="FP2i_NPE_Emis">[9]Footprint!$A$149</definedName>
    <definedName name="FP2i_NPE_onEmis" localSheetId="1">[13]Footprint!$AB$133</definedName>
    <definedName name="FP2i_NPE_onEmis">[9]Footprint!$A$150</definedName>
    <definedName name="FP2i_OG_Emis" localSheetId="1">[13]Footprint!$T$123</definedName>
    <definedName name="FP2i_OG_Emis">[9]Footprint!$A$160</definedName>
    <definedName name="FP2i_OG_Fuel" localSheetId="1">[13]Footprint!$T$120</definedName>
    <definedName name="FP2i_OG_Fuel">[9]Footprint!$A$157</definedName>
    <definedName name="FP2i_OG_onEmis" localSheetId="1">[13]Footprint!$T$124</definedName>
    <definedName name="FP2i_OG_onEmis">[9]Footprint!$A$161</definedName>
    <definedName name="FP2i_OG_Output">[13]Footprint!$T$121</definedName>
    <definedName name="FP2i_PE_Emis" localSheetId="1">[13]Footprint!$AB$124</definedName>
    <definedName name="FP2i_PE_Emis">[9]Footprint!$A$141</definedName>
    <definedName name="FP2i_PE_onEmis" localSheetId="1">[13]Footprint!$AB$125</definedName>
    <definedName name="FP2i_PE_onEmis">[9]Footprint!$A$142</definedName>
    <definedName name="FP2i_TE_noG">[13]Footprint!$U$127</definedName>
    <definedName name="FP2i_TOemis">[13]Footprint!$V$139</definedName>
    <definedName name="FP2i_Toff_ELC">[13]Footprint!$B$117</definedName>
    <definedName name="FP2i_Toff_ELCFuel" localSheetId="1">[13]Footprint!$B$119</definedName>
    <definedName name="FP2i_Toff_ELCFuel">[9]Footprint!$A$117</definedName>
    <definedName name="FP2i_Toff_emis">[13]Footprint!$B$122</definedName>
    <definedName name="FP2i_Toff_Semis">[13]Footprint!$B$127</definedName>
    <definedName name="FP2i_Toff_SGenFuel">[13]Footprint!$B$124</definedName>
    <definedName name="FP2i_TPE" localSheetId="1">[13]Footprint!$Z$127</definedName>
    <definedName name="FP2i_TPE">[9]Footprint!$A$136</definedName>
    <definedName name="FPi_A" localSheetId="1">[13]Footprint!$I$87</definedName>
    <definedName name="FPi_A">[9]Footprint!$I$87</definedName>
    <definedName name="FPi_All" localSheetId="1">[13]Footprint!$C$87</definedName>
    <definedName name="FPi_All">[9]Footprint!$C$87</definedName>
    <definedName name="FPi_B" localSheetId="1">[13]Footprint!$I$88</definedName>
    <definedName name="FPi_B">[9]Footprint!$I$88</definedName>
    <definedName name="FPi_bb">[13]Footprint!$I$90</definedName>
    <definedName name="FPi_C" localSheetId="1">[13]Footprint!$M$87</definedName>
    <definedName name="FPi_C">[9]Footprint!$M$87</definedName>
    <definedName name="FPi_D">[9]Footprint!$M$88</definedName>
    <definedName name="FPi_EC_Elec" localSheetId="1">[13]Footprint!$T$73</definedName>
    <definedName name="FPi_EC_Elec">[9]Footprint!$T$73</definedName>
    <definedName name="FPi_EC_Losses" localSheetId="1">[13]Footprint!$T$75</definedName>
    <definedName name="FPi_EC_Losses">[9]Footprint!$T$75</definedName>
    <definedName name="FPi_EC_Steam" localSheetId="1">[13]Footprint!$T$74</definedName>
    <definedName name="FPi_EC_Steam">[9]Footprint!$T$74</definedName>
    <definedName name="FPi_MD_Elec" localSheetId="1">[13]Footprint!$T$79</definedName>
    <definedName name="FPi_MD_Elec">[9]Footprint!$T$79</definedName>
    <definedName name="FPi_MD_Fuel" localSheetId="1">[13]Footprint!$T$78</definedName>
    <definedName name="FPi_MD_fuel">[9]Footprint!$T$78</definedName>
    <definedName name="FPi_MD_Steam" localSheetId="1">[13]Footprint!$T$80</definedName>
    <definedName name="FPi_MD_Steam">[9]Footprint!$T$80</definedName>
    <definedName name="FPi_np_HVAC_Elec" localSheetId="1">[13]Footprint!$AE$53</definedName>
    <definedName name="FPi_np_HVAC_Elec">[9]Footprint!$AE$53</definedName>
    <definedName name="FPi_np_HVAC_Fuel" localSheetId="1">[13]Footprint!$AE$52</definedName>
    <definedName name="FPi_np_HVAC_Fuel">[9]Footprint!$AE$52</definedName>
    <definedName name="FPi_np_HVAC_L" localSheetId="1">[13]Footprint!$AE$55</definedName>
    <definedName name="FPi_np_HVAC_L">[9]Footprint!$AE$55</definedName>
    <definedName name="FPi_np_HVAC_Steam" localSheetId="1">[13]Footprint!$AE$54</definedName>
    <definedName name="FPi_np_HVAC_Steam">[9]Footprint!$AE$54</definedName>
    <definedName name="FPi_np_Lit_Elec" localSheetId="1">[13]Footprint!$AE$59</definedName>
    <definedName name="FPi_np_Lit_Elec">[9]Footprint!$AE$59</definedName>
    <definedName name="FPi_np_Lit_L" localSheetId="1">[13]Footprint!$AE$60</definedName>
    <definedName name="FPi_np_Lit_L">[9]Footprint!$AE$60</definedName>
    <definedName name="FPi_np_Oemis" localSheetId="1">[13]Footprint!$AJ$84</definedName>
    <definedName name="FPi_np_Oemis">[9]Footprint!$AJ$84</definedName>
    <definedName name="FPi_np_Ofs_Elec" localSheetId="1">[13]Footprint!$AE$65</definedName>
    <definedName name="FPi_np_Ofs_Elec">[9]Footprint!$AE$65</definedName>
    <definedName name="FPi_np_Ofs_Fuel" localSheetId="1">[13]Footprint!$AE$64</definedName>
    <definedName name="FPi_np_Ofs_Fuel">[9]Footprint!$AE$64</definedName>
    <definedName name="FPi_np_Ofs_L" localSheetId="1">[13]Footprint!$AE$66</definedName>
    <definedName name="FPi_np_Ofs_L">[9]Footprint!$AE$66</definedName>
    <definedName name="FPi_np_Onp_Elec" localSheetId="1">[13]Footprint!$AE$77</definedName>
    <definedName name="FPi_np_Onp_Elec">[9]Footprint!$AE$77</definedName>
    <definedName name="FPi_np_Onp_Fuel" localSheetId="1">[13]Footprint!$AE$76</definedName>
    <definedName name="FPi_np_Onp_Fuel">[9]Footprint!$AE$76</definedName>
    <definedName name="FPi_np_Onp_L" localSheetId="1">[13]Footprint!$AE$79</definedName>
    <definedName name="FPi_np_Onp_L">[9]Footprint!$AE$79</definedName>
    <definedName name="FPi_np_Onp_Steam" localSheetId="1">[13]Footprint!$AE$78</definedName>
    <definedName name="FPi_np_Onp_Steam">[9]Footprint!$AE$78</definedName>
    <definedName name="FPi_np_Tran_Elec" localSheetId="1">[13]Footprint!$AE$71</definedName>
    <definedName name="FPi_np_Tran_Elec">[9]Footprint!$AE$71</definedName>
    <definedName name="FPi_np_Tran_Fuel" localSheetId="1">[13]Footprint!$AE$70</definedName>
    <definedName name="FPi_np_Tran_Fuel">[9]Footprint!$AE$70</definedName>
    <definedName name="FPi_np_Tran_L" localSheetId="1">[13]Footprint!$AE$72</definedName>
    <definedName name="FPi_np_Tran_L">[9]Footprint!$AE$72</definedName>
    <definedName name="FPi_OG_B_Elec" localSheetId="1">[13]Footprint!$C$53</definedName>
    <definedName name="FPi_OG_B_Elec">[9]Footprint!$C$53</definedName>
    <definedName name="FPi_OG_B_Fuel" localSheetId="1">[13]Footprint!$C$52</definedName>
    <definedName name="FPi_OG_B_Fuel">[9]Footprint!$C$52</definedName>
    <definedName name="FPi_OG_B_Steam" localSheetId="1">[13]Footprint!$C$54</definedName>
    <definedName name="FPi_OG_B_Steam">[9]Footprint!$C$54</definedName>
    <definedName name="FPi_OG_C_Elec">[13]Footprint!$C$61</definedName>
    <definedName name="FPi_OG_C_Fuel" localSheetId="1">[13]Footprint!$C$60</definedName>
    <definedName name="FPi_OG_C_Fuel">[9]Footprint!$C$60</definedName>
    <definedName name="FPi_OG_C_Steam" localSheetId="1">[13]Footprint!$C$62</definedName>
    <definedName name="FPi_OG_C_Steam">[9]Footprint!$C$62</definedName>
    <definedName name="FPi_OG_E_Elec" localSheetId="1">[13]Footprint!$C$69</definedName>
    <definedName name="FPi_OG_E_Elec">[9]Footprint!$C$69</definedName>
    <definedName name="FPi_OG_E_Fuel" localSheetId="1">[13]Footprint!$C$68</definedName>
    <definedName name="FPi_OG_E_Fuel">[9]Footprint!$C$68</definedName>
    <definedName name="FPi_OG_Oemis" localSheetId="1">[13]Footprint!$H$74</definedName>
    <definedName name="FPi_OG_Oemis">[9]Footprint!$H$74</definedName>
    <definedName name="FPi_P_Oemis" localSheetId="1">[13]Footprint!$AJ$82</definedName>
    <definedName name="FPi_P_Oemis">[9]Footprint!$AJ$82</definedName>
    <definedName name="FPi_PC_Elec" localSheetId="1">[13]Footprint!$T$59</definedName>
    <definedName name="FPi_PC_Elec">[9]Footprint!$T$59</definedName>
    <definedName name="FPi_PC_Fuel" localSheetId="1">[13]Footprint!$T$58</definedName>
    <definedName name="FPi_PC_Fuel">[9]Footprint!$T$58</definedName>
    <definedName name="FPi_PC_Losses" localSheetId="1">[13]Footprint!$T$61</definedName>
    <definedName name="FPi_PC_Losses">[9]Footprint!$T$61</definedName>
    <definedName name="FPi_PC_Steam" localSheetId="1">[13]Footprint!$T$60</definedName>
    <definedName name="FPi_PC_Steam">[9]Footprint!$T$60</definedName>
    <definedName name="FPi_PH_Elec" localSheetId="1">[13]Footprint!$T$52</definedName>
    <definedName name="FPi_PH_Elec">[9]Footprint!$T$52</definedName>
    <definedName name="FPi_PH_Fuel" localSheetId="1">[13]Footprint!$T$51</definedName>
    <definedName name="FPi_PH_Fuel">[9]Footprint!$T$51</definedName>
    <definedName name="FPi_PH_Losses" localSheetId="1">[13]Footprint!$T$54</definedName>
    <definedName name="FPi_PH_Losses">[9]Footprint!$T$54</definedName>
    <definedName name="FPi_PH_Steam" localSheetId="1">[13]Footprint!$T$53</definedName>
    <definedName name="FPi_PH_Steam">[9]Footprint!$T$53</definedName>
    <definedName name="FPi_PO_Elec" localSheetId="1">[13]Footprint!$T$66</definedName>
    <definedName name="FPi_PO_Elec">[9]Footprint!$T$66</definedName>
    <definedName name="FPi_PO_Fuel" localSheetId="1">[13]Footprint!$T$65</definedName>
    <definedName name="FPi_PO_Fuel">[9]Footprint!$T$65</definedName>
    <definedName name="FPi_PO_Losses" localSheetId="1">[13]Footprint!$T$68</definedName>
    <definedName name="FPi_PO_Losses">[9]Footprint!$T$68</definedName>
    <definedName name="FPi_PO_Steam" localSheetId="1">[13]Footprint!$T$67</definedName>
    <definedName name="FPi_PO_Steam">[9]Footprint!$T$67</definedName>
    <definedName name="FPi_Sloss">[13]Footprint!$O$84</definedName>
    <definedName name="fuel_types">#REF!</definedName>
    <definedName name="GROWTH" localSheetId="20">'[3]TechRep-Doc'!#REF!</definedName>
    <definedName name="GROWTH">'[3]TechRep-Doc'!#REF!</definedName>
    <definedName name="GROWTH_TID" localSheetId="20">'[3]TechRep-Doc'!#REF!</definedName>
    <definedName name="GROWTH_TID">'[3]TechRep-Doc'!#REF!</definedName>
    <definedName name="Hist_data_eff">'[14]Historical data'!#REF!</definedName>
    <definedName name="Hist_data_fuels" localSheetId="1">'[13]Historical data'!$B$111:$B$159</definedName>
    <definedName name="Hist_data_fuels">'[14]Historical data'!#REF!</definedName>
    <definedName name="Hist_data_intens" localSheetId="1">'[13]Historical data'!$E$111:$S$159</definedName>
    <definedName name="Hist_data_intens">'[14]Historical data'!#REF!</definedName>
    <definedName name="Hist_data_procs" localSheetId="1">'[13]Historical data'!$E$110:$S$110</definedName>
    <definedName name="Hist_data_procs">'[14]Historical data'!#REF!</definedName>
    <definedName name="Hist_data_techs" localSheetId="1">'[13]Historical data'!$A$111:$A$159</definedName>
    <definedName name="Hist_data_techs">'[14]Historical data'!#REF!</definedName>
    <definedName name="HTML_CodePage" hidden="1">1252</definedName>
    <definedName name="HTML_Description" hidden="1">""</definedName>
    <definedName name="HTML_Email" hidden="1">""</definedName>
    <definedName name="HTML_Header" hidden="1">"Local sales"</definedName>
    <definedName name="HTML_LastUpdate" hidden="1">"2003/02/17"</definedName>
    <definedName name="HTML_LineAfter" hidden="1">FALSE</definedName>
    <definedName name="HTML_LineBefore" hidden="1">FALSE</definedName>
    <definedName name="HTML_Name" hidden="1">"Susan Botha"</definedName>
    <definedName name="HTML_OBDlg2" hidden="1">TRUE</definedName>
    <definedName name="HTML_OBDlg4" hidden="1">TRUE</definedName>
    <definedName name="HTML_OS" hidden="1">0</definedName>
    <definedName name="HTML_PathFile" hidden="1">"J:\Info Services\Economic Committee\Website\MyHTML.htm"</definedName>
    <definedName name="HTML_Title" hidden="1">"STATISTICS website"</definedName>
    <definedName name="impswitch_al">[2]Index!$E$19</definedName>
    <definedName name="impswitch_fa">[2]Index!$E$18</definedName>
    <definedName name="impswitch_is">[2]Index!$E$17</definedName>
    <definedName name="impswitch_NMM">[2]Index!$E$20</definedName>
    <definedName name="impswitch_pp">[2]Index!$E$21</definedName>
    <definedName name="IntensityTable_ex" localSheetId="1">[13]Data!$J$33:$AC$782</definedName>
    <definedName name="IntensityTable_ex">[9]Data!$J$33:$AC$782</definedName>
    <definedName name="IntensityTable_nw" localSheetId="1">[13]Data!$J$798:$AC$1397</definedName>
    <definedName name="IntensityTable_nw">[9]Data!$J$798:$AC$1397</definedName>
    <definedName name="Interv_nw_FuelIDs" localSheetId="1">[13]Interventions!$AR$18:$AR$557</definedName>
    <definedName name="Interv_nw_FuelIDs">[9]Interventions!$AR$18:$AR$557</definedName>
    <definedName name="Interv_nw_ProcIDs" localSheetId="1">[13]Interventions!$AQ$18:$AQ$557</definedName>
    <definedName name="Interv_nw_ProcIDs">[9]Interventions!$AQ$18:$AQ$557</definedName>
    <definedName name="Interv_nw_TechIDs" localSheetId="1">[13]Interventions!$AP$18:$AP$557</definedName>
    <definedName name="Interv_nw_TechIDs">[9]Interventions!$AP$18:$AP$557</definedName>
    <definedName name="Interventions_ex" localSheetId="1">[13]Interventions!$K$18:$AD$467</definedName>
    <definedName name="Interventions_ex">[9]Interventions!$K$18:$AD$467</definedName>
    <definedName name="Interventions_nw" localSheetId="1">[13]Interventions!$AZ$18:$BS$557</definedName>
    <definedName name="Interventions_nw">[9]Interventions!$AZ$18:$BS$557</definedName>
    <definedName name="INVCOST" localSheetId="20">'[3]TechRep-Doc'!#REF!</definedName>
    <definedName name="INVCOST">'[3]TechRep-Doc'!#REF!</definedName>
    <definedName name="IS_EE_switch">[2]IND!#REF!</definedName>
    <definedName name="LIFE" localSheetId="20">'[3]TechRep-Doc'!#REF!</definedName>
    <definedName name="LIFE">'[3]TechRep-Doc'!#REF!</definedName>
    <definedName name="LOCAL_MYSQL_DATE_FORMAT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NAs_CCAR" localSheetId="20">'[3]TechRep-Doc'!#REF!</definedName>
    <definedName name="NAs_CCAR">'[3]TechRep-Doc'!#REF!</definedName>
    <definedName name="newtech_data">#REF!</definedName>
    <definedName name="newtech_parameters">#REF!</definedName>
    <definedName name="Newtech_Start">#REF!</definedName>
    <definedName name="NMM_EE_switch">[2]IND!#REF!</definedName>
    <definedName name="Output_TotProc_ex">[9]!Proc_Tot_E_ex[#Data]</definedName>
    <definedName name="Pal_Workbook_GUID" localSheetId="1" hidden="1">"E2D7SR7Q3BDXUD24G1M1SK63"</definedName>
    <definedName name="Pal_Workbook_GUID" hidden="1">"15EKZRKTEJMR3UQGNDW1WF6V"</definedName>
    <definedName name="pamsindex">'[2]PAMS central control panel'!$C$2</definedName>
    <definedName name="PAMSlevel">'[2]PAMS central control panel'!$D$10</definedName>
    <definedName name="PP_EE_switch">[2]IND!#REF!</definedName>
    <definedName name="Preferences.AreaUnits">[15]Preferences!$C$7</definedName>
    <definedName name="Preferences.EnergyUnits">[15]Preferences!$C$3</definedName>
    <definedName name="Preferences.moneyunits">[15]Preferences!$C$9</definedName>
    <definedName name="Preferences.PowerUnits">[15]Preferences!$C$5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5000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SASApp_GDPDATA_DISCREPANCY_TABLE" localSheetId="23">#REF!</definedName>
    <definedName name="SASApp_GDPDATA_DISCREPANCY_TABLE" localSheetId="20">#REF!</definedName>
    <definedName name="SASApp_GDPDATA_DISCREPANCY_TABLE" localSheetId="21">#REF!</definedName>
    <definedName name="SASApp_GDPDATA_DISCREPANCY_TABLE" localSheetId="19">#REF!</definedName>
    <definedName name="SASApp_GDPDATA_DISCREPANCY_TABLE">#REF!</definedName>
    <definedName name="SASApp_GDPDATA_SUPPLY_TABLE_FIRST" localSheetId="23">#REF!</definedName>
    <definedName name="SASApp_GDPDATA_SUPPLY_TABLE_FIRST" localSheetId="20">#REF!</definedName>
    <definedName name="SASApp_GDPDATA_SUPPLY_TABLE_FIRST" localSheetId="21">#REF!</definedName>
    <definedName name="SASApp_GDPDATA_SUPPLY_TABLE_FIRST" localSheetId="19">#REF!</definedName>
    <definedName name="SASApp_GDPDATA_SUPPLY_TABLE_FIRST">#REF!</definedName>
    <definedName name="SASApp_GDPDATA_SUPPLY_TABLE_SECOND" localSheetId="23">#REF!</definedName>
    <definedName name="SASApp_GDPDATA_SUPPLY_TABLE_SECOND" localSheetId="20">#REF!</definedName>
    <definedName name="SASApp_GDPDATA_SUPPLY_TABLE_SECOND" localSheetId="21">#REF!</definedName>
    <definedName name="SASApp_GDPDATA_SUPPLY_TABLE_SECOND" localSheetId="19">#REF!</definedName>
    <definedName name="SASApp_GDPDATA_SUPPLY_TABLE_SECOND">#REF!</definedName>
    <definedName name="SASApp_GDPDATA_USE_TABLE_FIRST" localSheetId="23">#REF!</definedName>
    <definedName name="SASApp_GDPDATA_USE_TABLE_FIRST" localSheetId="20">#REF!</definedName>
    <definedName name="SASApp_GDPDATA_USE_TABLE_FIRST" localSheetId="21">#REF!</definedName>
    <definedName name="SASApp_GDPDATA_USE_TABLE_FIRST" localSheetId="19">#REF!</definedName>
    <definedName name="SASApp_GDPDATA_USE_TABLE_FIRST">#REF!</definedName>
    <definedName name="SASApp_GDPDATA_USE_TABLE_SECOND" localSheetId="23">#REF!</definedName>
    <definedName name="SASApp_GDPDATA_USE_TABLE_SECOND" localSheetId="20">#REF!</definedName>
    <definedName name="SASApp_GDPDATA_USE_TABLE_SECOND" localSheetId="21">#REF!</definedName>
    <definedName name="SASApp_GDPDATA_USE_TABLE_SECOND" localSheetId="19">#REF!</definedName>
    <definedName name="SASApp_GDPDATA_USE_TABLE_SECOND">#REF!</definedName>
    <definedName name="SETS" localSheetId="20">'[3]TechRep-Doc'!#REF!</definedName>
    <definedName name="SETS">'[3]TechRep-Doc'!#REF!</definedName>
    <definedName name="TRTGAB005" localSheetId="20">'[3]TechRep-Doc'!#REF!</definedName>
    <definedName name="TRTGAB005">'[3]TechRep-Doc'!#REF!</definedName>
    <definedName name="TRTGAC005" localSheetId="20">'[3]TechRep-Doc'!#REF!</definedName>
    <definedName name="TRTGAC005">'[3]TechRep-Doc'!#REF!</definedName>
    <definedName name="Trucks_15" localSheetId="20">'[3]TechRep-Doc'!#REF!</definedName>
    <definedName name="Trucks_15">'[3]TechRep-Doc'!#REF!</definedName>
    <definedName name="TSUB_COST">'[3]TechRep-Doc'!#REF!</definedName>
    <definedName name="Unit.day">'[4]Unit conversion'!$F$43</definedName>
    <definedName name="Unit.GJ" localSheetId="23">'[5]Unit conversion'!$E$7</definedName>
    <definedName name="Unit.GJ" localSheetId="20">'[6]Unit conversion'!$E$7</definedName>
    <definedName name="Unit.GJ" localSheetId="19">'[7]Unit conversion'!$E$7</definedName>
    <definedName name="Unit.GJ">'[8]Unit conversion'!$E$7</definedName>
    <definedName name="Unit.GWh" localSheetId="23">'[5]Unit conversion'!$E$13</definedName>
    <definedName name="Unit.GWh" localSheetId="20">'[6]Unit conversion'!$E$13</definedName>
    <definedName name="Unit.GWh" localSheetId="19">'[7]Unit conversion'!$E$13</definedName>
    <definedName name="Unit.GWh">'[8]Unit conversion'!$E$13</definedName>
    <definedName name="Unit.hour">'[4]Unit conversion'!$F$44</definedName>
    <definedName name="Unit.J">'[4]Unit conversion'!$E$8</definedName>
    <definedName name="Unit.kgce" localSheetId="23">'[5]Unit conversion'!$E$22</definedName>
    <definedName name="Unit.kgce" localSheetId="20">'[6]Unit conversion'!$E$22</definedName>
    <definedName name="Unit.kgce" localSheetId="19">'[7]Unit conversion'!$E$22</definedName>
    <definedName name="Unit.kgce">'[8]Unit conversion'!$E$22</definedName>
    <definedName name="Unit.minute">'[4]Unit conversion'!$F$45</definedName>
    <definedName name="Unit.TJ" localSheetId="23">'[5]Unit conversion'!$E$6</definedName>
    <definedName name="Unit.TJ" localSheetId="20">'[6]Unit conversion'!$E$6</definedName>
    <definedName name="Unit.TJ" localSheetId="19">'[7]Unit conversion'!$E$6</definedName>
    <definedName name="Unit.TJ">'[8]Unit conversion'!$E$6</definedName>
    <definedName name="Unit.W">'[4]Unit conversion'!$F$35</definedName>
    <definedName name="Unit.year">'[4]Unit conversion'!$F$42</definedName>
    <definedName name="wastePAM">'[2]PAMS central control panel'!$C$3</definedName>
    <definedName name="x">[3]AGR_Fuels!$A$2</definedName>
    <definedName name="zar.2010">[2]Index!$B$11</definedName>
    <definedName name="zar.year">[2]Index!$B$10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62" i="43" l="1"/>
  <c r="Q61" i="43"/>
  <c r="Q60" i="43"/>
  <c r="Q59" i="43"/>
  <c r="Q58" i="43"/>
  <c r="Q57" i="43"/>
  <c r="Q56" i="43"/>
  <c r="Q55" i="43"/>
  <c r="Q54" i="43"/>
  <c r="Q53" i="43"/>
  <c r="P62" i="43"/>
  <c r="P61" i="43"/>
  <c r="P60" i="43"/>
  <c r="P59" i="43"/>
  <c r="P58" i="43"/>
  <c r="P57" i="43"/>
  <c r="P56" i="43"/>
  <c r="P55" i="43"/>
  <c r="P54" i="43"/>
  <c r="P53" i="43"/>
  <c r="O62" i="43"/>
  <c r="O61" i="43"/>
  <c r="O60" i="43"/>
  <c r="O59" i="43"/>
  <c r="O58" i="43"/>
  <c r="O57" i="43"/>
  <c r="O56" i="43"/>
  <c r="O55" i="43"/>
  <c r="O54" i="43"/>
  <c r="O53" i="43"/>
  <c r="N62" i="43"/>
  <c r="N61" i="43"/>
  <c r="N60" i="43"/>
  <c r="N59" i="43"/>
  <c r="N58" i="43"/>
  <c r="N57" i="43"/>
  <c r="N56" i="43"/>
  <c r="N55" i="43"/>
  <c r="N54" i="43"/>
  <c r="N53" i="43"/>
  <c r="L62" i="43"/>
  <c r="L61" i="43"/>
  <c r="L60" i="43"/>
  <c r="L59" i="43"/>
  <c r="L58" i="43"/>
  <c r="L57" i="43"/>
  <c r="L56" i="43"/>
  <c r="L55" i="43"/>
  <c r="L54" i="43"/>
  <c r="L53" i="43"/>
  <c r="M62" i="43"/>
  <c r="M61" i="43"/>
  <c r="M60" i="43"/>
  <c r="M59" i="43"/>
  <c r="M58" i="43"/>
  <c r="M57" i="43"/>
  <c r="M56" i="43"/>
  <c r="M55" i="43"/>
  <c r="M54" i="43"/>
  <c r="M53" i="43"/>
  <c r="I25" i="43"/>
  <c r="I24" i="43"/>
  <c r="I23" i="43"/>
  <c r="I22" i="43"/>
  <c r="I21" i="43"/>
  <c r="S113" i="40"/>
  <c r="D151" i="35" l="1"/>
  <c r="E150" i="35"/>
  <c r="D150" i="35"/>
  <c r="AA241" i="35"/>
  <c r="J29" i="43" l="1"/>
  <c r="K29" i="43" s="1"/>
  <c r="L29" i="43" s="1"/>
  <c r="M29" i="43" s="1"/>
  <c r="N29" i="43" s="1"/>
  <c r="O29" i="43" s="1"/>
  <c r="P29" i="43" s="1"/>
  <c r="Q29" i="43" s="1"/>
  <c r="J30" i="43"/>
  <c r="K30" i="43" s="1"/>
  <c r="L30" i="43" s="1"/>
  <c r="M30" i="43" s="1"/>
  <c r="N30" i="43" s="1"/>
  <c r="O30" i="43" s="1"/>
  <c r="P30" i="43" s="1"/>
  <c r="Q30" i="43" s="1"/>
  <c r="J31" i="43"/>
  <c r="K31" i="43" s="1"/>
  <c r="L31" i="43" s="1"/>
  <c r="M31" i="43" s="1"/>
  <c r="N31" i="43" s="1"/>
  <c r="O31" i="43" s="1"/>
  <c r="P31" i="43" s="1"/>
  <c r="Q31" i="43" s="1"/>
  <c r="J32" i="43"/>
  <c r="K32" i="43" s="1"/>
  <c r="L32" i="43" s="1"/>
  <c r="M32" i="43" s="1"/>
  <c r="N32" i="43" s="1"/>
  <c r="O32" i="43" s="1"/>
  <c r="P32" i="43" s="1"/>
  <c r="Q32" i="43" s="1"/>
  <c r="J33" i="43"/>
  <c r="K33" i="43" s="1"/>
  <c r="L33" i="43" s="1"/>
  <c r="M33" i="43" s="1"/>
  <c r="N33" i="43" s="1"/>
  <c r="O33" i="43" s="1"/>
  <c r="P33" i="43" s="1"/>
  <c r="Q33" i="43" s="1"/>
  <c r="J34" i="43"/>
  <c r="K34" i="43" s="1"/>
  <c r="L34" i="43" s="1"/>
  <c r="M34" i="43" s="1"/>
  <c r="N34" i="43" s="1"/>
  <c r="O34" i="43" s="1"/>
  <c r="P34" i="43" s="1"/>
  <c r="Q34" i="43" s="1"/>
  <c r="J35" i="43"/>
  <c r="K35" i="43" s="1"/>
  <c r="L35" i="43" s="1"/>
  <c r="M35" i="43" s="1"/>
  <c r="N35" i="43" s="1"/>
  <c r="O35" i="43" s="1"/>
  <c r="P35" i="43" s="1"/>
  <c r="Q35" i="43" s="1"/>
  <c r="J36" i="43"/>
  <c r="K36" i="43" s="1"/>
  <c r="L36" i="43" s="1"/>
  <c r="M36" i="43" s="1"/>
  <c r="N36" i="43" s="1"/>
  <c r="O36" i="43" s="1"/>
  <c r="P36" i="43" s="1"/>
  <c r="Q36" i="43" s="1"/>
  <c r="J37" i="43"/>
  <c r="K37" i="43" s="1"/>
  <c r="L37" i="43" s="1"/>
  <c r="M37" i="43" s="1"/>
  <c r="N37" i="43" s="1"/>
  <c r="O37" i="43" s="1"/>
  <c r="P37" i="43" s="1"/>
  <c r="Q37" i="43" s="1"/>
  <c r="J38" i="43"/>
  <c r="K38" i="43" s="1"/>
  <c r="L38" i="43" s="1"/>
  <c r="M38" i="43" s="1"/>
  <c r="N38" i="43" s="1"/>
  <c r="O38" i="43" s="1"/>
  <c r="P38" i="43" s="1"/>
  <c r="Q38" i="43" s="1"/>
  <c r="M40" i="43"/>
  <c r="L41" i="43"/>
  <c r="N41" i="43"/>
  <c r="O41" i="43" s="1"/>
  <c r="P41" i="43" s="1"/>
  <c r="Q41" i="43" s="1"/>
  <c r="M42" i="43"/>
  <c r="L42" i="43" s="1"/>
  <c r="W244" i="40" s="1"/>
  <c r="L43" i="43"/>
  <c r="W246" i="40" s="1"/>
  <c r="N43" i="43"/>
  <c r="O43" i="43" s="1"/>
  <c r="M44" i="43"/>
  <c r="L44" i="43" s="1"/>
  <c r="L45" i="43"/>
  <c r="N45" i="43"/>
  <c r="O45" i="43" s="1"/>
  <c r="P45" i="43" s="1"/>
  <c r="Q45" i="43" s="1"/>
  <c r="M46" i="43"/>
  <c r="L46" i="43" s="1"/>
  <c r="W252" i="40" s="1"/>
  <c r="L47" i="43"/>
  <c r="W254" i="40" s="1"/>
  <c r="N47" i="43"/>
  <c r="O47" i="43" s="1"/>
  <c r="M48" i="43"/>
  <c r="L48" i="43" s="1"/>
  <c r="L49" i="43"/>
  <c r="N49" i="43"/>
  <c r="O49" i="43" s="1"/>
  <c r="P49" i="43" s="1"/>
  <c r="Q49" i="43" s="1"/>
  <c r="I54" i="43"/>
  <c r="J242" i="40" s="1"/>
  <c r="K54" i="43"/>
  <c r="R242" i="40" s="1"/>
  <c r="I55" i="43"/>
  <c r="J244" i="40" s="1"/>
  <c r="J55" i="43"/>
  <c r="M244" i="40" s="1"/>
  <c r="AB246" i="40"/>
  <c r="I58" i="43"/>
  <c r="J250" i="40" s="1"/>
  <c r="K58" i="43"/>
  <c r="R250" i="40" s="1"/>
  <c r="I59" i="43"/>
  <c r="J252" i="40" s="1"/>
  <c r="J59" i="43"/>
  <c r="M252" i="40" s="1"/>
  <c r="AB254" i="40"/>
  <c r="I62" i="43"/>
  <c r="J262" i="40" s="1"/>
  <c r="K62" i="43"/>
  <c r="R262" i="40" s="1"/>
  <c r="E65" i="43"/>
  <c r="H224" i="40" s="1"/>
  <c r="Z11" i="42"/>
  <c r="Z12" i="42"/>
  <c r="B13" i="42"/>
  <c r="E13" i="42" s="1"/>
  <c r="L27" i="42" s="1"/>
  <c r="C13" i="42"/>
  <c r="F13" i="42"/>
  <c r="G13" i="42"/>
  <c r="H13" i="42"/>
  <c r="L25" i="42" s="1"/>
  <c r="J13" i="42"/>
  <c r="T13" i="42" s="1"/>
  <c r="K13" i="42"/>
  <c r="R13" i="42" s="1"/>
  <c r="S13" i="42" s="1"/>
  <c r="Z13" i="42"/>
  <c r="AC13" i="42"/>
  <c r="AD13" i="42" s="1"/>
  <c r="O117" i="40" s="1"/>
  <c r="AF13" i="42"/>
  <c r="AG13" i="42"/>
  <c r="AH13" i="42"/>
  <c r="AI13" i="42"/>
  <c r="AJ13" i="42"/>
  <c r="AK13" i="42"/>
  <c r="AL13" i="42"/>
  <c r="P112" i="40" s="1"/>
  <c r="AM13" i="42"/>
  <c r="AN13" i="42"/>
  <c r="B14" i="42"/>
  <c r="C14" i="42"/>
  <c r="E14" i="42"/>
  <c r="F14" i="42"/>
  <c r="G14" i="42"/>
  <c r="H14" i="42"/>
  <c r="J14" i="42"/>
  <c r="K14" i="42"/>
  <c r="R14" i="42" s="1"/>
  <c r="S14" i="42" s="1"/>
  <c r="J116" i="40" s="1"/>
  <c r="T14" i="42"/>
  <c r="U14" i="42" s="1"/>
  <c r="Z14" i="42"/>
  <c r="O47" i="40" s="1"/>
  <c r="O48" i="40" s="1"/>
  <c r="AC14" i="42"/>
  <c r="AD14" i="42" s="1"/>
  <c r="O118" i="40" s="1"/>
  <c r="AF14" i="42"/>
  <c r="AG14" i="42"/>
  <c r="AH14" i="42"/>
  <c r="L113" i="40" s="1"/>
  <c r="AI14" i="42"/>
  <c r="AJ14" i="42"/>
  <c r="AK14" i="42"/>
  <c r="AL14" i="42"/>
  <c r="AM14" i="42"/>
  <c r="AN14" i="42"/>
  <c r="B15" i="42"/>
  <c r="C15" i="42"/>
  <c r="E15" i="42"/>
  <c r="F15" i="42"/>
  <c r="G15" i="42"/>
  <c r="L50" i="42" s="1"/>
  <c r="O50" i="42" s="1"/>
  <c r="J78" i="40" s="1"/>
  <c r="H15" i="42"/>
  <c r="J15" i="42"/>
  <c r="K15" i="42"/>
  <c r="T15" i="42" s="1"/>
  <c r="R15" i="42"/>
  <c r="S15" i="42"/>
  <c r="Z15" i="42"/>
  <c r="AC15" i="42"/>
  <c r="AD15" i="42"/>
  <c r="AF15" i="42"/>
  <c r="AG15" i="42"/>
  <c r="AH15" i="42"/>
  <c r="AI15" i="42"/>
  <c r="AJ15" i="42"/>
  <c r="N114" i="40" s="1"/>
  <c r="AK15" i="42"/>
  <c r="AL15" i="42"/>
  <c r="AM15" i="42"/>
  <c r="AN15" i="42"/>
  <c r="B16" i="42"/>
  <c r="K16" i="42" s="1"/>
  <c r="C16" i="42"/>
  <c r="E16" i="42"/>
  <c r="L44" i="42" s="1"/>
  <c r="O44" i="42" s="1"/>
  <c r="J72" i="40" s="1"/>
  <c r="F16" i="42"/>
  <c r="L46" i="42" s="1"/>
  <c r="O46" i="42" s="1"/>
  <c r="J74" i="40" s="1"/>
  <c r="Z16" i="42"/>
  <c r="AC16" i="42"/>
  <c r="AD16" i="42"/>
  <c r="AF16" i="42"/>
  <c r="AG16" i="42"/>
  <c r="AH16" i="42"/>
  <c r="AI16" i="42"/>
  <c r="AJ16" i="42"/>
  <c r="AK16" i="42"/>
  <c r="AL16" i="42"/>
  <c r="AM16" i="42"/>
  <c r="AN16" i="42"/>
  <c r="R115" i="40" s="1"/>
  <c r="B17" i="42"/>
  <c r="J17" i="42" s="1"/>
  <c r="C17" i="42"/>
  <c r="E17" i="42"/>
  <c r="Z17" i="42"/>
  <c r="O50" i="40" s="1"/>
  <c r="AC17" i="42"/>
  <c r="AD17" i="42" s="1"/>
  <c r="O121" i="40" s="1"/>
  <c r="M121" i="40" s="1"/>
  <c r="AF17" i="42"/>
  <c r="AG17" i="42"/>
  <c r="AH17" i="42"/>
  <c r="AI17" i="42"/>
  <c r="AJ17" i="42"/>
  <c r="AK17" i="42"/>
  <c r="AL17" i="42"/>
  <c r="P116" i="40" s="1"/>
  <c r="AM17" i="42"/>
  <c r="AM18" i="42" s="1"/>
  <c r="Q24" i="40" s="1"/>
  <c r="AN17" i="42"/>
  <c r="Z18" i="42"/>
  <c r="AL18" i="42"/>
  <c r="P24" i="40" s="1"/>
  <c r="Z19" i="42"/>
  <c r="Z23" i="42"/>
  <c r="AA23" i="42"/>
  <c r="AD23" i="42"/>
  <c r="AF23" i="42"/>
  <c r="AG23" i="42"/>
  <c r="K213" i="40" s="1"/>
  <c r="AH23" i="42"/>
  <c r="AI23" i="42"/>
  <c r="AJ23" i="42"/>
  <c r="AK23" i="42"/>
  <c r="O213" i="40" s="1"/>
  <c r="AL23" i="42"/>
  <c r="AM23" i="42"/>
  <c r="AN23" i="42"/>
  <c r="AO23" i="42"/>
  <c r="AP23" i="42"/>
  <c r="AQ23" i="42"/>
  <c r="AR23" i="42"/>
  <c r="AS23" i="42"/>
  <c r="W213" i="40" s="1"/>
  <c r="AT23" i="42"/>
  <c r="AU23" i="42"/>
  <c r="AV23" i="42"/>
  <c r="AW23" i="42"/>
  <c r="AA213" i="40" s="1"/>
  <c r="AX23" i="42"/>
  <c r="AY23" i="42"/>
  <c r="AZ23" i="42"/>
  <c r="BA23" i="42"/>
  <c r="BB23" i="42"/>
  <c r="BC23" i="42"/>
  <c r="BD23" i="42"/>
  <c r="BE23" i="42"/>
  <c r="AI213" i="40" s="1"/>
  <c r="BF23" i="42"/>
  <c r="BG23" i="42"/>
  <c r="BH23" i="42"/>
  <c r="BI23" i="42"/>
  <c r="AM213" i="40" s="1"/>
  <c r="BJ23" i="42"/>
  <c r="BK23" i="42"/>
  <c r="BL23" i="42"/>
  <c r="BM23" i="42"/>
  <c r="BN23" i="42"/>
  <c r="BO23" i="42"/>
  <c r="Z24" i="42"/>
  <c r="AA24" i="42"/>
  <c r="AD24" i="42"/>
  <c r="AF24" i="42"/>
  <c r="AG24" i="42"/>
  <c r="AH24" i="42"/>
  <c r="L214" i="40" s="1"/>
  <c r="AI24" i="42"/>
  <c r="AJ24" i="42"/>
  <c r="AK24" i="42"/>
  <c r="AL24" i="42"/>
  <c r="AM24" i="42"/>
  <c r="AN24" i="42"/>
  <c r="AO24" i="42"/>
  <c r="AP24" i="42"/>
  <c r="T214" i="40" s="1"/>
  <c r="AQ24" i="42"/>
  <c r="AR24" i="42"/>
  <c r="AS24" i="42"/>
  <c r="AT24" i="42"/>
  <c r="X214" i="40" s="1"/>
  <c r="AU24" i="42"/>
  <c r="AV24" i="42"/>
  <c r="AW24" i="42"/>
  <c r="AX24" i="42"/>
  <c r="AY24" i="42"/>
  <c r="AZ24" i="42"/>
  <c r="BA24" i="42"/>
  <c r="BB24" i="42"/>
  <c r="AF214" i="40" s="1"/>
  <c r="BC24" i="42"/>
  <c r="BD24" i="42"/>
  <c r="BE24" i="42"/>
  <c r="BF24" i="42"/>
  <c r="AJ214" i="40" s="1"/>
  <c r="BG24" i="42"/>
  <c r="BH24" i="42"/>
  <c r="BI24" i="42"/>
  <c r="BJ24" i="42"/>
  <c r="BK24" i="42"/>
  <c r="BL24" i="42"/>
  <c r="BM24" i="42"/>
  <c r="BN24" i="42"/>
  <c r="BO24" i="42"/>
  <c r="M25" i="42"/>
  <c r="R25" i="42" a="1"/>
  <c r="R25" i="42"/>
  <c r="R34" i="42" s="1"/>
  <c r="O62" i="40" s="1"/>
  <c r="Z25" i="42"/>
  <c r="AA25" i="42"/>
  <c r="AC25" i="42"/>
  <c r="AD25" i="42"/>
  <c r="AF25" i="42"/>
  <c r="AG25" i="42"/>
  <c r="AH25" i="42"/>
  <c r="AI25" i="42"/>
  <c r="M215" i="40" s="1"/>
  <c r="AJ25" i="42"/>
  <c r="AK25" i="42"/>
  <c r="AL25" i="42"/>
  <c r="AM25" i="42"/>
  <c r="Q215" i="40" s="1"/>
  <c r="AN25" i="42"/>
  <c r="AO25" i="42"/>
  <c r="AP25" i="42"/>
  <c r="AQ25" i="42"/>
  <c r="AR25" i="42"/>
  <c r="AS25" i="42"/>
  <c r="AT25" i="42"/>
  <c r="AU25" i="42"/>
  <c r="Y215" i="40" s="1"/>
  <c r="AV25" i="42"/>
  <c r="AW25" i="42"/>
  <c r="AX25" i="42"/>
  <c r="AY25" i="42"/>
  <c r="AC215" i="40" s="1"/>
  <c r="AZ25" i="42"/>
  <c r="BA25" i="42"/>
  <c r="BB25" i="42"/>
  <c r="BC25" i="42"/>
  <c r="BD25" i="42"/>
  <c r="BE25" i="42"/>
  <c r="BF25" i="42"/>
  <c r="BG25" i="42"/>
  <c r="AK215" i="40" s="1"/>
  <c r="BH25" i="42"/>
  <c r="BI25" i="42"/>
  <c r="BJ25" i="42"/>
  <c r="BK25" i="42"/>
  <c r="BL25" i="42"/>
  <c r="BM25" i="42"/>
  <c r="BN25" i="42"/>
  <c r="BO25" i="42"/>
  <c r="M26" i="42"/>
  <c r="Z26" i="42"/>
  <c r="AA26" i="42"/>
  <c r="AC26" i="42"/>
  <c r="R26" i="42" s="1" a="1"/>
  <c r="R26" i="42" s="1"/>
  <c r="AD26" i="42"/>
  <c r="AF26" i="42"/>
  <c r="AG26" i="42"/>
  <c r="AH26" i="42"/>
  <c r="L216" i="40" s="1"/>
  <c r="L232" i="40" s="1"/>
  <c r="AI26" i="42"/>
  <c r="AJ26" i="42"/>
  <c r="AK26" i="42"/>
  <c r="AL26" i="42"/>
  <c r="AM26" i="42"/>
  <c r="AN26" i="42"/>
  <c r="AO26" i="42"/>
  <c r="AP26" i="42"/>
  <c r="T216" i="40" s="1"/>
  <c r="T232" i="40" s="1"/>
  <c r="AQ26" i="42"/>
  <c r="AR26" i="42"/>
  <c r="AS26" i="42"/>
  <c r="AT26" i="42"/>
  <c r="X216" i="40" s="1"/>
  <c r="X232" i="40" s="1"/>
  <c r="AU26" i="42"/>
  <c r="AV26" i="42"/>
  <c r="AW26" i="42"/>
  <c r="AX26" i="42"/>
  <c r="AY26" i="42"/>
  <c r="AZ26" i="42"/>
  <c r="BA26" i="42"/>
  <c r="BB26" i="42"/>
  <c r="AF216" i="40" s="1"/>
  <c r="AF232" i="40" s="1"/>
  <c r="BC26" i="42"/>
  <c r="BD26" i="42"/>
  <c r="BE26" i="42"/>
  <c r="BF26" i="42"/>
  <c r="AJ216" i="40" s="1"/>
  <c r="BG26" i="42"/>
  <c r="BH26" i="42"/>
  <c r="BI26" i="42"/>
  <c r="BJ26" i="42"/>
  <c r="BK26" i="42"/>
  <c r="BL26" i="42"/>
  <c r="BM26" i="42"/>
  <c r="BN26" i="42"/>
  <c r="BO26" i="42"/>
  <c r="M27" i="42"/>
  <c r="Z27" i="42"/>
  <c r="AA27" i="42"/>
  <c r="AC27" i="42"/>
  <c r="R27" i="42" s="1" a="1"/>
  <c r="R27" i="42" s="1"/>
  <c r="AD27" i="42"/>
  <c r="AF27" i="42"/>
  <c r="AG27" i="42"/>
  <c r="AH27" i="42"/>
  <c r="AI27" i="42"/>
  <c r="AJ27" i="42"/>
  <c r="AK27" i="42"/>
  <c r="O217" i="40" s="1"/>
  <c r="O235" i="40" s="1"/>
  <c r="AL27" i="42"/>
  <c r="AM27" i="42"/>
  <c r="AN27" i="42"/>
  <c r="AO27" i="42"/>
  <c r="S217" i="40" s="1"/>
  <c r="S235" i="40" s="1"/>
  <c r="AP27" i="42"/>
  <c r="AQ27" i="42"/>
  <c r="AR27" i="42"/>
  <c r="AS27" i="42"/>
  <c r="AT27" i="42"/>
  <c r="AU27" i="42"/>
  <c r="AV27" i="42"/>
  <c r="AW27" i="42"/>
  <c r="AA217" i="40" s="1"/>
  <c r="AA235" i="40" s="1"/>
  <c r="AX27" i="42"/>
  <c r="AY27" i="42"/>
  <c r="AZ27" i="42"/>
  <c r="BA27" i="42"/>
  <c r="AE217" i="40" s="1"/>
  <c r="AE235" i="40" s="1"/>
  <c r="BB27" i="42"/>
  <c r="BC27" i="42"/>
  <c r="BD27" i="42"/>
  <c r="BE27" i="42"/>
  <c r="BF27" i="42"/>
  <c r="BG27" i="42"/>
  <c r="BH27" i="42"/>
  <c r="BI27" i="42"/>
  <c r="AM217" i="40" s="1"/>
  <c r="BJ27" i="42"/>
  <c r="BK27" i="42"/>
  <c r="BL27" i="42"/>
  <c r="BM27" i="42"/>
  <c r="BN27" i="42"/>
  <c r="BO27" i="42"/>
  <c r="M28" i="42"/>
  <c r="R28" i="42" a="1"/>
  <c r="R28" i="42" s="1"/>
  <c r="Z28" i="42"/>
  <c r="AA28" i="42"/>
  <c r="AC28" i="42"/>
  <c r="AD28" i="42"/>
  <c r="L29" i="42"/>
  <c r="M29" i="42"/>
  <c r="O29" i="42" s="1"/>
  <c r="J57" i="40" s="1"/>
  <c r="R29" i="42" a="1"/>
  <c r="R29" i="42"/>
  <c r="R38" i="42" s="1"/>
  <c r="O66" i="40" s="1"/>
  <c r="Z29" i="42"/>
  <c r="AA29" i="42"/>
  <c r="AC29" i="42"/>
  <c r="AD29" i="42"/>
  <c r="L30" i="42"/>
  <c r="O30" i="42" s="1"/>
  <c r="J58" i="40" s="1"/>
  <c r="M30" i="42"/>
  <c r="Z30" i="42"/>
  <c r="AA30" i="42"/>
  <c r="AC30" i="42"/>
  <c r="R30" i="42" s="1" a="1"/>
  <c r="R30" i="42" s="1"/>
  <c r="AD30" i="42"/>
  <c r="M31" i="42"/>
  <c r="Z31" i="42"/>
  <c r="AA31" i="42"/>
  <c r="AC31" i="42"/>
  <c r="AD31" i="42"/>
  <c r="AF31" i="42"/>
  <c r="AG31" i="42"/>
  <c r="AH31" i="42"/>
  <c r="AI31" i="42"/>
  <c r="AJ31" i="42"/>
  <c r="N256" i="40" s="1"/>
  <c r="AK31" i="42"/>
  <c r="AL31" i="42"/>
  <c r="AM31" i="42"/>
  <c r="AN31" i="42"/>
  <c r="R256" i="40" s="1"/>
  <c r="M32" i="42"/>
  <c r="N32" i="42"/>
  <c r="O32" i="42" s="1"/>
  <c r="J60" i="40" s="1"/>
  <c r="Z32" i="42"/>
  <c r="AA32" i="42"/>
  <c r="AC32" i="42"/>
  <c r="AD32" i="42"/>
  <c r="AF32" i="42"/>
  <c r="AG32" i="42"/>
  <c r="AH32" i="42"/>
  <c r="AI32" i="42"/>
  <c r="AJ32" i="42"/>
  <c r="AK32" i="42"/>
  <c r="AL32" i="42"/>
  <c r="AM32" i="42"/>
  <c r="AN32" i="42"/>
  <c r="M33" i="42"/>
  <c r="O33" i="42" s="1"/>
  <c r="J61" i="40" s="1"/>
  <c r="AN61" i="40" s="1"/>
  <c r="N33" i="42"/>
  <c r="Z33" i="42"/>
  <c r="AA33" i="42"/>
  <c r="AC33" i="42"/>
  <c r="AD33" i="42"/>
  <c r="M34" i="42"/>
  <c r="O34" i="42"/>
  <c r="Z34" i="42"/>
  <c r="AA34" i="42"/>
  <c r="AC34" i="42"/>
  <c r="AD34" i="42"/>
  <c r="M35" i="42"/>
  <c r="O35" i="42" s="1"/>
  <c r="J63" i="40" s="1"/>
  <c r="Z35" i="42"/>
  <c r="AA35" i="42"/>
  <c r="AC35" i="42"/>
  <c r="AD35" i="42"/>
  <c r="M36" i="42"/>
  <c r="O36" i="42" s="1"/>
  <c r="J64" i="40" s="1"/>
  <c r="Z36" i="42"/>
  <c r="AA36" i="42"/>
  <c r="AC36" i="42"/>
  <c r="AD36" i="42"/>
  <c r="M37" i="42"/>
  <c r="O37" i="42"/>
  <c r="Z37" i="42"/>
  <c r="AA37" i="42"/>
  <c r="AC37" i="42"/>
  <c r="AD37" i="42"/>
  <c r="M38" i="42"/>
  <c r="O38" i="42"/>
  <c r="Z38" i="42"/>
  <c r="AA38" i="42"/>
  <c r="AC38" i="42"/>
  <c r="AD38" i="42"/>
  <c r="R46" i="42" s="1" a="1"/>
  <c r="R46" i="42" s="1"/>
  <c r="O74" i="40" s="1"/>
  <c r="M39" i="42"/>
  <c r="O39" i="42" s="1"/>
  <c r="J67" i="40" s="1"/>
  <c r="Z39" i="42"/>
  <c r="AA39" i="42"/>
  <c r="AC39" i="42"/>
  <c r="AD39" i="42"/>
  <c r="M40" i="42"/>
  <c r="O40" i="42" s="1"/>
  <c r="J68" i="40" s="1"/>
  <c r="Z40" i="42"/>
  <c r="AA40" i="42"/>
  <c r="AC40" i="42"/>
  <c r="AD40" i="42"/>
  <c r="M41" i="42"/>
  <c r="O41" i="42"/>
  <c r="R41" i="42"/>
  <c r="Z41" i="42"/>
  <c r="AA41" i="42"/>
  <c r="AC41" i="42"/>
  <c r="AD41" i="42"/>
  <c r="M42" i="42"/>
  <c r="O42" i="42"/>
  <c r="R42" i="42"/>
  <c r="Z42" i="42"/>
  <c r="AA42" i="42"/>
  <c r="AC42" i="42"/>
  <c r="AD42" i="42"/>
  <c r="M43" i="42"/>
  <c r="Z43" i="42"/>
  <c r="AA43" i="42"/>
  <c r="AC43" i="42"/>
  <c r="AD43" i="42"/>
  <c r="M44" i="42"/>
  <c r="R44" i="42" a="1"/>
  <c r="R44" i="42" s="1"/>
  <c r="O72" i="40" s="1"/>
  <c r="Z44" i="42"/>
  <c r="AA44" i="42"/>
  <c r="AC44" i="42"/>
  <c r="AD44" i="42"/>
  <c r="M45" i="42"/>
  <c r="Z45" i="42"/>
  <c r="AA45" i="42"/>
  <c r="AC45" i="42"/>
  <c r="AD45" i="42"/>
  <c r="M46" i="42"/>
  <c r="Z46" i="42"/>
  <c r="AA46" i="42"/>
  <c r="AC46" i="42"/>
  <c r="AD46" i="42"/>
  <c r="M47" i="42"/>
  <c r="N47" i="42"/>
  <c r="O47" i="42"/>
  <c r="Z47" i="42"/>
  <c r="AA47" i="42"/>
  <c r="AC47" i="42"/>
  <c r="R47" i="42" s="1" a="1"/>
  <c r="R47" i="42" s="1"/>
  <c r="O75" i="40" s="1"/>
  <c r="AD47" i="42"/>
  <c r="L48" i="42"/>
  <c r="M48" i="42"/>
  <c r="O48" i="42"/>
  <c r="AC48" i="42"/>
  <c r="R48" i="42" s="1" a="1"/>
  <c r="R48" i="42" s="1"/>
  <c r="L49" i="42"/>
  <c r="O49" i="42" s="1"/>
  <c r="J77" i="40" s="1"/>
  <c r="M49" i="42"/>
  <c r="R49" i="42" a="1"/>
  <c r="R49" i="42" s="1"/>
  <c r="AC49" i="42"/>
  <c r="M50" i="42"/>
  <c r="AC50" i="42"/>
  <c r="R50" i="42" s="1" a="1"/>
  <c r="R50" i="42" s="1"/>
  <c r="L51" i="42"/>
  <c r="L52" i="42" s="1"/>
  <c r="O52" i="42" s="1"/>
  <c r="J80" i="40" s="1"/>
  <c r="AN80" i="40" s="1"/>
  <c r="M51" i="42"/>
  <c r="AC51" i="42"/>
  <c r="M52" i="42"/>
  <c r="AC52" i="42"/>
  <c r="M53" i="42"/>
  <c r="O53" i="42" s="1"/>
  <c r="J81" i="40" s="1"/>
  <c r="N53" i="42"/>
  <c r="AC53" i="42"/>
  <c r="M54" i="42"/>
  <c r="O54" i="42" s="1"/>
  <c r="J82" i="40" s="1"/>
  <c r="AN82" i="40" s="1"/>
  <c r="N54" i="42"/>
  <c r="AC54" i="42"/>
  <c r="M55" i="42"/>
  <c r="O55" i="42"/>
  <c r="AC55" i="42"/>
  <c r="M56" i="42"/>
  <c r="O56" i="42" s="1"/>
  <c r="J84" i="40" s="1"/>
  <c r="AC56" i="42"/>
  <c r="M57" i="42"/>
  <c r="O57" i="42" s="1"/>
  <c r="J85" i="40" s="1"/>
  <c r="AC57" i="42"/>
  <c r="M58" i="42"/>
  <c r="O58" i="42"/>
  <c r="AC58" i="42"/>
  <c r="M59" i="42"/>
  <c r="O59" i="42" s="1"/>
  <c r="J87" i="40" s="1"/>
  <c r="AC59" i="42"/>
  <c r="M60" i="42"/>
  <c r="O60" i="42" s="1"/>
  <c r="J88" i="40" s="1"/>
  <c r="R60" i="42"/>
  <c r="AC60" i="42"/>
  <c r="M61" i="42"/>
  <c r="O61" i="42"/>
  <c r="R61" i="42"/>
  <c r="AC61" i="42"/>
  <c r="M62" i="42"/>
  <c r="O62" i="42" s="1"/>
  <c r="AC62" i="42"/>
  <c r="M63" i="42"/>
  <c r="O63" i="42" s="1"/>
  <c r="AC63" i="42"/>
  <c r="M64" i="42"/>
  <c r="O64" i="42"/>
  <c r="R64" i="42"/>
  <c r="AC64" i="42"/>
  <c r="M65" i="42"/>
  <c r="O65" i="42" s="1"/>
  <c r="N65" i="42"/>
  <c r="AC65" i="42"/>
  <c r="L66" i="42"/>
  <c r="O66" i="42" s="1"/>
  <c r="J94" i="40" s="1"/>
  <c r="M66" i="42"/>
  <c r="AC66" i="42"/>
  <c r="M67" i="42"/>
  <c r="AC67" i="42"/>
  <c r="M68" i="42"/>
  <c r="AC68" i="42"/>
  <c r="R68" i="42" s="1" a="1"/>
  <c r="R68" i="42" s="1"/>
  <c r="O96" i="40" s="1"/>
  <c r="M69" i="42"/>
  <c r="O69" i="42" s="1"/>
  <c r="J97" i="40" s="1"/>
  <c r="N69" i="42"/>
  <c r="AC69" i="42"/>
  <c r="L70" i="42"/>
  <c r="M70" i="42"/>
  <c r="O70" i="42"/>
  <c r="AC70" i="42"/>
  <c r="R70" i="42" s="1" a="1"/>
  <c r="R70" i="42" s="1"/>
  <c r="L71" i="42"/>
  <c r="M71" i="42"/>
  <c r="O71" i="42"/>
  <c r="R71" i="42" a="1"/>
  <c r="R71" i="42" s="1"/>
  <c r="AC71" i="42"/>
  <c r="L72" i="42"/>
  <c r="M72" i="42"/>
  <c r="O72" i="42"/>
  <c r="AC72" i="42"/>
  <c r="L73" i="42"/>
  <c r="L74" i="42" s="1"/>
  <c r="O74" i="42" s="1"/>
  <c r="J102" i="40" s="1"/>
  <c r="AN102" i="40" s="1"/>
  <c r="M73" i="42"/>
  <c r="O73" i="42"/>
  <c r="R73" i="42" a="1"/>
  <c r="R73" i="42" s="1"/>
  <c r="AC73" i="42"/>
  <c r="M74" i="42"/>
  <c r="AC74" i="42"/>
  <c r="R74" i="42" s="1" a="1"/>
  <c r="R74" i="42" s="1"/>
  <c r="M75" i="42"/>
  <c r="N75" i="42"/>
  <c r="O75" i="42"/>
  <c r="AC75" i="42"/>
  <c r="M76" i="42"/>
  <c r="O76" i="42" s="1"/>
  <c r="J104" i="40" s="1"/>
  <c r="AN104" i="40" s="1"/>
  <c r="N76" i="42"/>
  <c r="AC76" i="42"/>
  <c r="M77" i="42"/>
  <c r="O77" i="42" s="1"/>
  <c r="J105" i="40" s="1"/>
  <c r="AC77" i="42"/>
  <c r="M78" i="42"/>
  <c r="O78" i="42"/>
  <c r="AC78" i="42"/>
  <c r="M79" i="42"/>
  <c r="O79" i="42" s="1"/>
  <c r="J107" i="40" s="1"/>
  <c r="AC79" i="42"/>
  <c r="M80" i="42"/>
  <c r="O80" i="42" s="1"/>
  <c r="J108" i="40" s="1"/>
  <c r="AC80" i="42"/>
  <c r="M81" i="42"/>
  <c r="O81" i="42"/>
  <c r="AC81" i="42"/>
  <c r="M82" i="42"/>
  <c r="O82" i="42" s="1"/>
  <c r="J110" i="40" s="1"/>
  <c r="R82" i="42"/>
  <c r="AC82" i="42"/>
  <c r="M83" i="42"/>
  <c r="O83" i="42" s="1"/>
  <c r="R83" i="42"/>
  <c r="AC83" i="42"/>
  <c r="Q89" i="42"/>
  <c r="O95" i="42" s="1"/>
  <c r="J9" i="40" s="1"/>
  <c r="O126" i="42"/>
  <c r="O127" i="42"/>
  <c r="O128" i="42"/>
  <c r="O129" i="42"/>
  <c r="O130" i="42"/>
  <c r="J42" i="40"/>
  <c r="O42" i="40"/>
  <c r="O43" i="40" s="1"/>
  <c r="I16" i="43" s="1"/>
  <c r="J44" i="40"/>
  <c r="O44" i="40"/>
  <c r="J47" i="40"/>
  <c r="J50" i="40"/>
  <c r="J51" i="40"/>
  <c r="O51" i="40"/>
  <c r="O52" i="40"/>
  <c r="I19" i="43" s="1"/>
  <c r="O57" i="40"/>
  <c r="O60" i="40"/>
  <c r="O61" i="40"/>
  <c r="J62" i="40"/>
  <c r="J65" i="40"/>
  <c r="J66" i="40"/>
  <c r="J69" i="40"/>
  <c r="O69" i="40"/>
  <c r="J70" i="40"/>
  <c r="O70" i="40"/>
  <c r="J75" i="40"/>
  <c r="J76" i="40"/>
  <c r="AN76" i="40" s="1"/>
  <c r="O81" i="40"/>
  <c r="O82" i="40"/>
  <c r="J83" i="40"/>
  <c r="J86" i="40"/>
  <c r="O88" i="40"/>
  <c r="J89" i="40"/>
  <c r="O89" i="40"/>
  <c r="J92" i="40"/>
  <c r="O92" i="40"/>
  <c r="J93" i="40"/>
  <c r="O93" i="40"/>
  <c r="O97" i="40"/>
  <c r="J98" i="40"/>
  <c r="AN98" i="40" s="1"/>
  <c r="J99" i="40"/>
  <c r="J100" i="40"/>
  <c r="J101" i="40"/>
  <c r="J103" i="40"/>
  <c r="O103" i="40"/>
  <c r="O104" i="40"/>
  <c r="J106" i="40"/>
  <c r="J109" i="40"/>
  <c r="O110" i="40"/>
  <c r="J111" i="40"/>
  <c r="O111" i="40"/>
  <c r="K112" i="40"/>
  <c r="L112" i="40"/>
  <c r="M112" i="40"/>
  <c r="N112" i="40"/>
  <c r="O112" i="40"/>
  <c r="Q112" i="40"/>
  <c r="R112" i="40"/>
  <c r="K113" i="40"/>
  <c r="M113" i="40"/>
  <c r="N113" i="40"/>
  <c r="O113" i="40"/>
  <c r="P113" i="40"/>
  <c r="Q113" i="40"/>
  <c r="R113" i="40"/>
  <c r="J114" i="40"/>
  <c r="K114" i="40"/>
  <c r="L114" i="40"/>
  <c r="M114" i="40"/>
  <c r="O114" i="40"/>
  <c r="P114" i="40"/>
  <c r="Q114" i="40"/>
  <c r="R114" i="40"/>
  <c r="K115" i="40"/>
  <c r="L115" i="40"/>
  <c r="M115" i="40"/>
  <c r="N115" i="40"/>
  <c r="O115" i="40"/>
  <c r="P115" i="40"/>
  <c r="Q115" i="40"/>
  <c r="K116" i="40"/>
  <c r="L116" i="40"/>
  <c r="M116" i="40"/>
  <c r="N116" i="40"/>
  <c r="O116" i="40"/>
  <c r="Q116" i="40"/>
  <c r="R116" i="40"/>
  <c r="O119" i="40"/>
  <c r="O120" i="40"/>
  <c r="J121" i="40"/>
  <c r="O122" i="40"/>
  <c r="O123" i="40"/>
  <c r="O124" i="40"/>
  <c r="O125" i="40"/>
  <c r="O126" i="40"/>
  <c r="J165" i="40"/>
  <c r="J166" i="40"/>
  <c r="J167" i="40"/>
  <c r="J168" i="40"/>
  <c r="J169" i="40"/>
  <c r="J213" i="40"/>
  <c r="L213" i="40"/>
  <c r="M213" i="40"/>
  <c r="N213" i="40"/>
  <c r="P213" i="40"/>
  <c r="Q213" i="40"/>
  <c r="R213" i="40"/>
  <c r="S213" i="40"/>
  <c r="T213" i="40"/>
  <c r="U213" i="40"/>
  <c r="V213" i="40"/>
  <c r="X213" i="40"/>
  <c r="Y213" i="40"/>
  <c r="Z213" i="40"/>
  <c r="AB213" i="40"/>
  <c r="AC213" i="40"/>
  <c r="AD213" i="40"/>
  <c r="AE213" i="40"/>
  <c r="AF213" i="40"/>
  <c r="AG213" i="40"/>
  <c r="AH213" i="40"/>
  <c r="AJ213" i="40"/>
  <c r="AK213" i="40"/>
  <c r="AL213" i="40"/>
  <c r="J214" i="40"/>
  <c r="K214" i="40"/>
  <c r="M214" i="40"/>
  <c r="N214" i="40"/>
  <c r="O214" i="40"/>
  <c r="P214" i="40"/>
  <c r="Q214" i="40"/>
  <c r="R214" i="40"/>
  <c r="S214" i="40"/>
  <c r="U214" i="40"/>
  <c r="V214" i="40"/>
  <c r="W214" i="40"/>
  <c r="Y214" i="40"/>
  <c r="Z214" i="40"/>
  <c r="AA214" i="40"/>
  <c r="AB214" i="40"/>
  <c r="AC214" i="40"/>
  <c r="AD214" i="40"/>
  <c r="AE214" i="40"/>
  <c r="AG214" i="40"/>
  <c r="AH214" i="40"/>
  <c r="AI214" i="40"/>
  <c r="AK214" i="40"/>
  <c r="AL214" i="40"/>
  <c r="AM214" i="40"/>
  <c r="J215" i="40"/>
  <c r="K215" i="40"/>
  <c r="L215" i="40"/>
  <c r="N215" i="40"/>
  <c r="O215" i="40"/>
  <c r="P215" i="40"/>
  <c r="R215" i="40"/>
  <c r="S215" i="40"/>
  <c r="T215" i="40"/>
  <c r="U215" i="40"/>
  <c r="V215" i="40"/>
  <c r="W215" i="40"/>
  <c r="X215" i="40"/>
  <c r="Z215" i="40"/>
  <c r="AA215" i="40"/>
  <c r="AB215" i="40"/>
  <c r="AD215" i="40"/>
  <c r="AE215" i="40"/>
  <c r="AF215" i="40"/>
  <c r="AG215" i="40"/>
  <c r="AH215" i="40"/>
  <c r="AI215" i="40"/>
  <c r="AJ215" i="40"/>
  <c r="AL215" i="40"/>
  <c r="AM215" i="40"/>
  <c r="J216" i="40"/>
  <c r="K216" i="40"/>
  <c r="M216" i="40"/>
  <c r="M232" i="40" s="1"/>
  <c r="N216" i="40"/>
  <c r="N232" i="40" s="1"/>
  <c r="O216" i="40"/>
  <c r="O232" i="40" s="1"/>
  <c r="P216" i="40"/>
  <c r="P232" i="40" s="1"/>
  <c r="Q216" i="40"/>
  <c r="Q232" i="40" s="1"/>
  <c r="R216" i="40"/>
  <c r="R232" i="40" s="1"/>
  <c r="S216" i="40"/>
  <c r="S232" i="40" s="1"/>
  <c r="U216" i="40"/>
  <c r="V216" i="40"/>
  <c r="V232" i="40" s="1"/>
  <c r="W216" i="40"/>
  <c r="W232" i="40" s="1"/>
  <c r="Y216" i="40"/>
  <c r="Y232" i="40" s="1"/>
  <c r="Z216" i="40"/>
  <c r="Z232" i="40" s="1"/>
  <c r="AA216" i="40"/>
  <c r="AA232" i="40" s="1"/>
  <c r="AB216" i="40"/>
  <c r="AB232" i="40" s="1"/>
  <c r="AC216" i="40"/>
  <c r="AD216" i="40"/>
  <c r="AD232" i="40" s="1"/>
  <c r="AE216" i="40"/>
  <c r="AE232" i="40" s="1"/>
  <c r="AG216" i="40"/>
  <c r="AH216" i="40"/>
  <c r="AI216" i="40"/>
  <c r="AI232" i="40" s="1"/>
  <c r="AJ232" i="40" s="1"/>
  <c r="AK232" i="40" s="1"/>
  <c r="AL232" i="40" s="1"/>
  <c r="AM232" i="40" s="1"/>
  <c r="AN232" i="40" s="1"/>
  <c r="AO232" i="40" s="1"/>
  <c r="AK216" i="40"/>
  <c r="AL216" i="40"/>
  <c r="AM216" i="40"/>
  <c r="J217" i="40"/>
  <c r="K217" i="40"/>
  <c r="L217" i="40"/>
  <c r="L235" i="40" s="1"/>
  <c r="M217" i="40"/>
  <c r="M235" i="40" s="1"/>
  <c r="N217" i="40"/>
  <c r="N235" i="40" s="1"/>
  <c r="P217" i="40"/>
  <c r="P235" i="40" s="1"/>
  <c r="Q217" i="40"/>
  <c r="Q235" i="40" s="1"/>
  <c r="R217" i="40"/>
  <c r="R235" i="40" s="1"/>
  <c r="T217" i="40"/>
  <c r="T235" i="40" s="1"/>
  <c r="U217" i="40"/>
  <c r="U235" i="40" s="1"/>
  <c r="V217" i="40"/>
  <c r="V235" i="40" s="1"/>
  <c r="W217" i="40"/>
  <c r="X217" i="40"/>
  <c r="X235" i="40" s="1"/>
  <c r="Y217" i="40"/>
  <c r="Y235" i="40" s="1"/>
  <c r="Z217" i="40"/>
  <c r="Z235" i="40" s="1"/>
  <c r="AB217" i="40"/>
  <c r="AC217" i="40"/>
  <c r="AD217" i="40"/>
  <c r="AF217" i="40"/>
  <c r="AF235" i="40" s="1"/>
  <c r="AG217" i="40"/>
  <c r="AG235" i="40" s="1"/>
  <c r="AH217" i="40"/>
  <c r="AH235" i="40" s="1"/>
  <c r="AI217" i="40"/>
  <c r="AI235" i="40" s="1"/>
  <c r="AJ235" i="40" s="1"/>
  <c r="AK235" i="40" s="1"/>
  <c r="AL235" i="40" s="1"/>
  <c r="AM235" i="40" s="1"/>
  <c r="AN235" i="40" s="1"/>
  <c r="AO235" i="40" s="1"/>
  <c r="AJ217" i="40"/>
  <c r="AK217" i="40"/>
  <c r="AL217" i="40"/>
  <c r="K223" i="40"/>
  <c r="L223" i="40" s="1"/>
  <c r="M223" i="40" s="1"/>
  <c r="N223" i="40"/>
  <c r="O223" i="40" s="1"/>
  <c r="P223" i="40" s="1"/>
  <c r="Q223" i="40" s="1"/>
  <c r="R223" i="40" s="1"/>
  <c r="S223" i="40" s="1"/>
  <c r="T223" i="40" s="1"/>
  <c r="U223" i="40" s="1"/>
  <c r="V223" i="40" s="1"/>
  <c r="W223" i="40" s="1"/>
  <c r="X223" i="40" s="1"/>
  <c r="Y223" i="40" s="1"/>
  <c r="Z223" i="40" s="1"/>
  <c r="AA223" i="40" s="1"/>
  <c r="AB223" i="40" s="1"/>
  <c r="AC223" i="40" s="1"/>
  <c r="AD223" i="40" s="1"/>
  <c r="AE223" i="40" s="1"/>
  <c r="AF223" i="40" s="1"/>
  <c r="AG223" i="40" s="1"/>
  <c r="AH223" i="40" s="1"/>
  <c r="AI223" i="40" s="1"/>
  <c r="AJ223" i="40" s="1"/>
  <c r="AK223" i="40" s="1"/>
  <c r="AL223" i="40" s="1"/>
  <c r="AM223" i="40" s="1"/>
  <c r="AN223" i="40" s="1"/>
  <c r="AO223" i="40" s="1"/>
  <c r="K224" i="40"/>
  <c r="L224" i="40"/>
  <c r="M224" i="40" s="1"/>
  <c r="N224" i="40" s="1"/>
  <c r="O224" i="40" s="1"/>
  <c r="P224" i="40" s="1"/>
  <c r="Q224" i="40" s="1"/>
  <c r="R224" i="40" s="1"/>
  <c r="S224" i="40" s="1"/>
  <c r="T224" i="40" s="1"/>
  <c r="U224" i="40" s="1"/>
  <c r="V224" i="40" s="1"/>
  <c r="W224" i="40" s="1"/>
  <c r="X224" i="40" s="1"/>
  <c r="Y224" i="40" s="1"/>
  <c r="Z224" i="40" s="1"/>
  <c r="AA224" i="40" s="1"/>
  <c r="AB224" i="40" s="1"/>
  <c r="AC224" i="40" s="1"/>
  <c r="AD224" i="40" s="1"/>
  <c r="AE224" i="40" s="1"/>
  <c r="AF224" i="40" s="1"/>
  <c r="AG224" i="40" s="1"/>
  <c r="AH224" i="40" s="1"/>
  <c r="AI224" i="40" s="1"/>
  <c r="AJ224" i="40" s="1"/>
  <c r="AK224" i="40" s="1"/>
  <c r="AL224" i="40" s="1"/>
  <c r="AM224" i="40" s="1"/>
  <c r="AN224" i="40" s="1"/>
  <c r="AO224" i="40" s="1"/>
  <c r="K225" i="40"/>
  <c r="L225" i="40" s="1"/>
  <c r="M225" i="40" s="1"/>
  <c r="N225" i="40" s="1"/>
  <c r="O225" i="40" s="1"/>
  <c r="P225" i="40" s="1"/>
  <c r="Q225" i="40" s="1"/>
  <c r="R225" i="40" s="1"/>
  <c r="S225" i="40" s="1"/>
  <c r="T225" i="40" s="1"/>
  <c r="U225" i="40" s="1"/>
  <c r="V225" i="40" s="1"/>
  <c r="W225" i="40" s="1"/>
  <c r="X225" i="40" s="1"/>
  <c r="Y225" i="40" s="1"/>
  <c r="Z225" i="40" s="1"/>
  <c r="AA225" i="40"/>
  <c r="AB225" i="40" s="1"/>
  <c r="AC225" i="40" s="1"/>
  <c r="AD225" i="40" s="1"/>
  <c r="AE225" i="40" s="1"/>
  <c r="AF225" i="40" s="1"/>
  <c r="AG225" i="40" s="1"/>
  <c r="AH225" i="40" s="1"/>
  <c r="AI225" i="40" s="1"/>
  <c r="AJ225" i="40" s="1"/>
  <c r="AK225" i="40" s="1"/>
  <c r="AL225" i="40" s="1"/>
  <c r="AM225" i="40" s="1"/>
  <c r="AN225" i="40" s="1"/>
  <c r="AO225" i="40" s="1"/>
  <c r="K226" i="40"/>
  <c r="L226" i="40" s="1"/>
  <c r="M226" i="40" s="1"/>
  <c r="N226" i="40" s="1"/>
  <c r="O226" i="40"/>
  <c r="P226" i="40" s="1"/>
  <c r="Q226" i="40" s="1"/>
  <c r="R226" i="40" s="1"/>
  <c r="S226" i="40" s="1"/>
  <c r="T226" i="40" s="1"/>
  <c r="U226" i="40" s="1"/>
  <c r="V226" i="40" s="1"/>
  <c r="W226" i="40" s="1"/>
  <c r="X226" i="40" s="1"/>
  <c r="Y226" i="40" s="1"/>
  <c r="Z226" i="40" s="1"/>
  <c r="AA226" i="40" s="1"/>
  <c r="AB226" i="40" s="1"/>
  <c r="AC226" i="40" s="1"/>
  <c r="AD226" i="40" s="1"/>
  <c r="AE226" i="40" s="1"/>
  <c r="AF226" i="40" s="1"/>
  <c r="AG226" i="40" s="1"/>
  <c r="AH226" i="40" s="1"/>
  <c r="AI226" i="40" s="1"/>
  <c r="AJ226" i="40" s="1"/>
  <c r="AK226" i="40" s="1"/>
  <c r="AL226" i="40" s="1"/>
  <c r="AM226" i="40" s="1"/>
  <c r="AN226" i="40" s="1"/>
  <c r="AO226" i="40" s="1"/>
  <c r="K227" i="40"/>
  <c r="L227" i="40"/>
  <c r="M227" i="40"/>
  <c r="N227" i="40" s="1"/>
  <c r="O227" i="40" s="1"/>
  <c r="P227" i="40" s="1"/>
  <c r="Q227" i="40" s="1"/>
  <c r="R227" i="40" s="1"/>
  <c r="S227" i="40" s="1"/>
  <c r="T227" i="40" s="1"/>
  <c r="U227" i="40" s="1"/>
  <c r="V227" i="40" s="1"/>
  <c r="W227" i="40" s="1"/>
  <c r="X227" i="40" s="1"/>
  <c r="Y227" i="40"/>
  <c r="Z227" i="40" s="1"/>
  <c r="AA227" i="40" s="1"/>
  <c r="AB227" i="40" s="1"/>
  <c r="AC227" i="40" s="1"/>
  <c r="AD227" i="40" s="1"/>
  <c r="AE227" i="40" s="1"/>
  <c r="AF227" i="40" s="1"/>
  <c r="AG227" i="40" s="1"/>
  <c r="AH227" i="40" s="1"/>
  <c r="AI227" i="40" s="1"/>
  <c r="AJ227" i="40" s="1"/>
  <c r="AK227" i="40" s="1"/>
  <c r="AL227" i="40" s="1"/>
  <c r="AM227" i="40" s="1"/>
  <c r="AN227" i="40" s="1"/>
  <c r="AO227" i="40" s="1"/>
  <c r="K228" i="40"/>
  <c r="L228" i="40"/>
  <c r="M228" i="40" s="1"/>
  <c r="N228" i="40" s="1"/>
  <c r="O228" i="40" s="1"/>
  <c r="P228" i="40"/>
  <c r="Q228" i="40" s="1"/>
  <c r="R228" i="40"/>
  <c r="S228" i="40" s="1"/>
  <c r="T228" i="40" s="1"/>
  <c r="U228" i="40" s="1"/>
  <c r="V228" i="40" s="1"/>
  <c r="W228" i="40" s="1"/>
  <c r="X228" i="40" s="1"/>
  <c r="Y228" i="40" s="1"/>
  <c r="Z228" i="40" s="1"/>
  <c r="AA228" i="40" s="1"/>
  <c r="AB228" i="40" s="1"/>
  <c r="AC228" i="40" s="1"/>
  <c r="AD228" i="40" s="1"/>
  <c r="AE228" i="40" s="1"/>
  <c r="AF228" i="40" s="1"/>
  <c r="AG228" i="40" s="1"/>
  <c r="AH228" i="40" s="1"/>
  <c r="AI228" i="40" s="1"/>
  <c r="AJ228" i="40" s="1"/>
  <c r="AK228" i="40" s="1"/>
  <c r="AL228" i="40" s="1"/>
  <c r="AM228" i="40" s="1"/>
  <c r="AN228" i="40" s="1"/>
  <c r="AO228" i="40" s="1"/>
  <c r="K229" i="40"/>
  <c r="L229" i="40" s="1"/>
  <c r="M229" i="40" s="1"/>
  <c r="N229" i="40" s="1"/>
  <c r="O229" i="40" s="1"/>
  <c r="P229" i="40" s="1"/>
  <c r="Q229" i="40" s="1"/>
  <c r="R229" i="40" s="1"/>
  <c r="S229" i="40" s="1"/>
  <c r="T229" i="40" s="1"/>
  <c r="U229" i="40" s="1"/>
  <c r="V229" i="40" s="1"/>
  <c r="W229" i="40" s="1"/>
  <c r="X229" i="40" s="1"/>
  <c r="Y229" i="40" s="1"/>
  <c r="Z229" i="40" s="1"/>
  <c r="AA229" i="40" s="1"/>
  <c r="AB229" i="40" s="1"/>
  <c r="AC229" i="40" s="1"/>
  <c r="AD229" i="40" s="1"/>
  <c r="AE229" i="40" s="1"/>
  <c r="AF229" i="40" s="1"/>
  <c r="AG229" i="40" s="1"/>
  <c r="AH229" i="40" s="1"/>
  <c r="AI229" i="40" s="1"/>
  <c r="AJ229" i="40" s="1"/>
  <c r="AK229" i="40" s="1"/>
  <c r="AL229" i="40" s="1"/>
  <c r="AM229" i="40" s="1"/>
  <c r="AN229" i="40" s="1"/>
  <c r="AO229" i="40" s="1"/>
  <c r="K230" i="40"/>
  <c r="L230" i="40"/>
  <c r="M230" i="40"/>
  <c r="N230" i="40"/>
  <c r="O230" i="40"/>
  <c r="P230" i="40" s="1"/>
  <c r="Q230" i="40" s="1"/>
  <c r="R230" i="40" s="1"/>
  <c r="S230" i="40" s="1"/>
  <c r="T230" i="40" s="1"/>
  <c r="U230" i="40" s="1"/>
  <c r="V230" i="40" s="1"/>
  <c r="W230" i="40" s="1"/>
  <c r="X230" i="40" s="1"/>
  <c r="Y230" i="40"/>
  <c r="Z230" i="40" s="1"/>
  <c r="AA230" i="40" s="1"/>
  <c r="AB230" i="40" s="1"/>
  <c r="AC230" i="40" s="1"/>
  <c r="AD230" i="40" s="1"/>
  <c r="AE230" i="40" s="1"/>
  <c r="AF230" i="40" s="1"/>
  <c r="AG230" i="40" s="1"/>
  <c r="AH230" i="40" s="1"/>
  <c r="AI230" i="40" s="1"/>
  <c r="AJ230" i="40" s="1"/>
  <c r="AK230" i="40"/>
  <c r="AL230" i="40" s="1"/>
  <c r="AM230" i="40" s="1"/>
  <c r="AN230" i="40" s="1"/>
  <c r="AO230" i="40" s="1"/>
  <c r="K231" i="40"/>
  <c r="L231" i="40"/>
  <c r="M231" i="40"/>
  <c r="N231" i="40" s="1"/>
  <c r="O231" i="40" s="1"/>
  <c r="P231" i="40" s="1"/>
  <c r="Q231" i="40"/>
  <c r="R231" i="40" s="1"/>
  <c r="S231" i="40" s="1"/>
  <c r="T231" i="40" s="1"/>
  <c r="U231" i="40" s="1"/>
  <c r="V231" i="40" s="1"/>
  <c r="W231" i="40" s="1"/>
  <c r="X231" i="40" s="1"/>
  <c r="Y231" i="40" s="1"/>
  <c r="Z231" i="40" s="1"/>
  <c r="AA231" i="40" s="1"/>
  <c r="AB231" i="40" s="1"/>
  <c r="AC231" i="40" s="1"/>
  <c r="AD231" i="40" s="1"/>
  <c r="AE231" i="40" s="1"/>
  <c r="AF231" i="40" s="1"/>
  <c r="AG231" i="40" s="1"/>
  <c r="AH231" i="40" s="1"/>
  <c r="AI231" i="40" s="1"/>
  <c r="AJ231" i="40" s="1"/>
  <c r="AK231" i="40" s="1"/>
  <c r="AL231" i="40" s="1"/>
  <c r="AM231" i="40" s="1"/>
  <c r="AN231" i="40" s="1"/>
  <c r="AO231" i="40" s="1"/>
  <c r="J232" i="40"/>
  <c r="K232" i="40"/>
  <c r="U232" i="40"/>
  <c r="AC232" i="40"/>
  <c r="AG232" i="40"/>
  <c r="AH232" i="40"/>
  <c r="K233" i="40"/>
  <c r="L233" i="40"/>
  <c r="M233" i="40"/>
  <c r="N233" i="40"/>
  <c r="O233" i="40" s="1"/>
  <c r="P233" i="40" s="1"/>
  <c r="Q233" i="40" s="1"/>
  <c r="R233" i="40" s="1"/>
  <c r="S233" i="40" s="1"/>
  <c r="T233" i="40" s="1"/>
  <c r="U233" i="40"/>
  <c r="V233" i="40" s="1"/>
  <c r="W233" i="40" s="1"/>
  <c r="X233" i="40" s="1"/>
  <c r="Y233" i="40" s="1"/>
  <c r="Z233" i="40" s="1"/>
  <c r="AA233" i="40" s="1"/>
  <c r="AB233" i="40" s="1"/>
  <c r="AC233" i="40" s="1"/>
  <c r="AD233" i="40" s="1"/>
  <c r="AE233" i="40" s="1"/>
  <c r="AF233" i="40" s="1"/>
  <c r="AG233" i="40" s="1"/>
  <c r="AH233" i="40" s="1"/>
  <c r="AI233" i="40" s="1"/>
  <c r="AJ233" i="40" s="1"/>
  <c r="AK233" i="40" s="1"/>
  <c r="AL233" i="40" s="1"/>
  <c r="AM233" i="40" s="1"/>
  <c r="AN233" i="40" s="1"/>
  <c r="AO233" i="40" s="1"/>
  <c r="K234" i="40"/>
  <c r="L234" i="40"/>
  <c r="M234" i="40"/>
  <c r="N234" i="40" s="1"/>
  <c r="O234" i="40" s="1"/>
  <c r="P234" i="40" s="1"/>
  <c r="Q234" i="40" s="1"/>
  <c r="R234" i="40" s="1"/>
  <c r="S234" i="40" s="1"/>
  <c r="T234" i="40" s="1"/>
  <c r="U234" i="40" s="1"/>
  <c r="V234" i="40" s="1"/>
  <c r="W234" i="40" s="1"/>
  <c r="X234" i="40" s="1"/>
  <c r="Y234" i="40"/>
  <c r="Z234" i="40" s="1"/>
  <c r="AA234" i="40" s="1"/>
  <c r="AB234" i="40" s="1"/>
  <c r="AC234" i="40" s="1"/>
  <c r="AD234" i="40" s="1"/>
  <c r="AE234" i="40" s="1"/>
  <c r="AF234" i="40" s="1"/>
  <c r="AG234" i="40" s="1"/>
  <c r="AH234" i="40" s="1"/>
  <c r="AI234" i="40" s="1"/>
  <c r="AJ234" i="40" s="1"/>
  <c r="AK234" i="40" s="1"/>
  <c r="AL234" i="40" s="1"/>
  <c r="AM234" i="40" s="1"/>
  <c r="AN234" i="40" s="1"/>
  <c r="AO234" i="40" s="1"/>
  <c r="J235" i="40"/>
  <c r="K235" i="40"/>
  <c r="W235" i="40"/>
  <c r="AB235" i="40"/>
  <c r="AC235" i="40"/>
  <c r="AD235" i="40"/>
  <c r="K236" i="40"/>
  <c r="L236" i="40" s="1"/>
  <c r="M236" i="40"/>
  <c r="N236" i="40" s="1"/>
  <c r="O236" i="40" s="1"/>
  <c r="P236" i="40"/>
  <c r="Q236" i="40" s="1"/>
  <c r="R236" i="40" s="1"/>
  <c r="S236" i="40" s="1"/>
  <c r="T236" i="40" s="1"/>
  <c r="U236" i="40" s="1"/>
  <c r="V236" i="40" s="1"/>
  <c r="W236" i="40" s="1"/>
  <c r="X236" i="40" s="1"/>
  <c r="Y236" i="40" s="1"/>
  <c r="Z236" i="40"/>
  <c r="AA236" i="40" s="1"/>
  <c r="AB236" i="40" s="1"/>
  <c r="AC236" i="40" s="1"/>
  <c r="AD236" i="40" s="1"/>
  <c r="AE236" i="40" s="1"/>
  <c r="AF236" i="40" s="1"/>
  <c r="AG236" i="40" s="1"/>
  <c r="AH236" i="40" s="1"/>
  <c r="AI236" i="40" s="1"/>
  <c r="AJ236" i="40" s="1"/>
  <c r="AK236" i="40" s="1"/>
  <c r="AL236" i="40" s="1"/>
  <c r="AM236" i="40" s="1"/>
  <c r="AN236" i="40" s="1"/>
  <c r="AO236" i="40" s="1"/>
  <c r="K237" i="40"/>
  <c r="L237" i="40"/>
  <c r="M237" i="40"/>
  <c r="N237" i="40" s="1"/>
  <c r="O237" i="40" s="1"/>
  <c r="P237" i="40" s="1"/>
  <c r="Q237" i="40" s="1"/>
  <c r="R237" i="40" s="1"/>
  <c r="S237" i="40" s="1"/>
  <c r="T237" i="40" s="1"/>
  <c r="U237" i="40"/>
  <c r="V237" i="40" s="1"/>
  <c r="W237" i="40" s="1"/>
  <c r="X237" i="40" s="1"/>
  <c r="Y237" i="40" s="1"/>
  <c r="Z237" i="40" s="1"/>
  <c r="AA237" i="40" s="1"/>
  <c r="AB237" i="40" s="1"/>
  <c r="AC237" i="40" s="1"/>
  <c r="AD237" i="40" s="1"/>
  <c r="AE237" i="40" s="1"/>
  <c r="AF237" i="40" s="1"/>
  <c r="AG237" i="40" s="1"/>
  <c r="AH237" i="40" s="1"/>
  <c r="AI237" i="40" s="1"/>
  <c r="AJ237" i="40" s="1"/>
  <c r="AK237" i="40" s="1"/>
  <c r="AL237" i="40" s="1"/>
  <c r="AM237" i="40" s="1"/>
  <c r="AN237" i="40" s="1"/>
  <c r="AO237" i="40" s="1"/>
  <c r="K238" i="40"/>
  <c r="L238" i="40" s="1"/>
  <c r="M238" i="40" s="1"/>
  <c r="N238" i="40" s="1"/>
  <c r="O238" i="40" s="1"/>
  <c r="P238" i="40" s="1"/>
  <c r="Q238" i="40" s="1"/>
  <c r="R238" i="40" s="1"/>
  <c r="S238" i="40" s="1"/>
  <c r="T238" i="40" s="1"/>
  <c r="U238" i="40" s="1"/>
  <c r="V238" i="40" s="1"/>
  <c r="W238" i="40" s="1"/>
  <c r="X238" i="40" s="1"/>
  <c r="Y238" i="40" s="1"/>
  <c r="Z238" i="40" s="1"/>
  <c r="AA238" i="40" s="1"/>
  <c r="AB238" i="40" s="1"/>
  <c r="AC238" i="40" s="1"/>
  <c r="AD238" i="40" s="1"/>
  <c r="AE238" i="40" s="1"/>
  <c r="AF238" i="40" s="1"/>
  <c r="AG238" i="40" s="1"/>
  <c r="AH238" i="40" s="1"/>
  <c r="AI238" i="40" s="1"/>
  <c r="AJ238" i="40" s="1"/>
  <c r="AK238" i="40" s="1"/>
  <c r="AL238" i="40" s="1"/>
  <c r="AM238" i="40" s="1"/>
  <c r="AN238" i="40" s="1"/>
  <c r="AO238" i="40" s="1"/>
  <c r="K239" i="40"/>
  <c r="L239" i="40" s="1"/>
  <c r="M239" i="40" s="1"/>
  <c r="N239" i="40" s="1"/>
  <c r="O239" i="40" s="1"/>
  <c r="P239" i="40" s="1"/>
  <c r="Q239" i="40" s="1"/>
  <c r="R239" i="40" s="1"/>
  <c r="S239" i="40" s="1"/>
  <c r="T239" i="40" s="1"/>
  <c r="U239" i="40" s="1"/>
  <c r="V239" i="40" s="1"/>
  <c r="W239" i="40" s="1"/>
  <c r="X239" i="40" s="1"/>
  <c r="Y239" i="40" s="1"/>
  <c r="Z239" i="40" s="1"/>
  <c r="AA239" i="40" s="1"/>
  <c r="AB239" i="40" s="1"/>
  <c r="AC239" i="40" s="1"/>
  <c r="AD239" i="40" s="1"/>
  <c r="AE239" i="40" s="1"/>
  <c r="AF239" i="40" s="1"/>
  <c r="AG239" i="40" s="1"/>
  <c r="AH239" i="40" s="1"/>
  <c r="AI239" i="40" s="1"/>
  <c r="AJ239" i="40" s="1"/>
  <c r="AK239" i="40" s="1"/>
  <c r="AL239" i="40" s="1"/>
  <c r="AM239" i="40" s="1"/>
  <c r="AN239" i="40" s="1"/>
  <c r="AO239" i="40" s="1"/>
  <c r="K241" i="40"/>
  <c r="L241" i="40" s="1"/>
  <c r="M241" i="40" s="1"/>
  <c r="N241" i="40" s="1"/>
  <c r="O241" i="40" s="1"/>
  <c r="P241" i="40" s="1"/>
  <c r="Q241" i="40" s="1"/>
  <c r="R241" i="40" s="1"/>
  <c r="S241" i="40" s="1"/>
  <c r="T241" i="40" s="1"/>
  <c r="U241" i="40" s="1"/>
  <c r="V241" i="40" s="1"/>
  <c r="W241" i="40" s="1"/>
  <c r="X241" i="40" s="1"/>
  <c r="Y241" i="40" s="1"/>
  <c r="Z241" i="40" s="1"/>
  <c r="AA241" i="40" s="1"/>
  <c r="AB241" i="40" s="1"/>
  <c r="AC241" i="40" s="1"/>
  <c r="AD241" i="40" s="1"/>
  <c r="AE241" i="40" s="1"/>
  <c r="AF241" i="40" s="1"/>
  <c r="AG241" i="40" s="1"/>
  <c r="AH241" i="40" s="1"/>
  <c r="AI241" i="40" s="1"/>
  <c r="AJ241" i="40" s="1"/>
  <c r="AK241" i="40" s="1"/>
  <c r="AL241" i="40" s="1"/>
  <c r="AM241" i="40" s="1"/>
  <c r="AN241" i="40" s="1"/>
  <c r="K243" i="40"/>
  <c r="L243" i="40" s="1"/>
  <c r="M243" i="40" s="1"/>
  <c r="N243" i="40" s="1"/>
  <c r="O243" i="40" s="1"/>
  <c r="P243" i="40" s="1"/>
  <c r="Q243" i="40" s="1"/>
  <c r="R243" i="40" s="1"/>
  <c r="S243" i="40" s="1"/>
  <c r="T243" i="40" s="1"/>
  <c r="U243" i="40" s="1"/>
  <c r="V243" i="40" s="1"/>
  <c r="W243" i="40" s="1"/>
  <c r="X243" i="40" s="1"/>
  <c r="Y243" i="40" s="1"/>
  <c r="Z243" i="40" s="1"/>
  <c r="AA243" i="40" s="1"/>
  <c r="AB243" i="40" s="1"/>
  <c r="AC243" i="40" s="1"/>
  <c r="AD243" i="40" s="1"/>
  <c r="AE243" i="40" s="1"/>
  <c r="AF243" i="40" s="1"/>
  <c r="AG243" i="40" s="1"/>
  <c r="AH243" i="40" s="1"/>
  <c r="AI243" i="40" s="1"/>
  <c r="AJ243" i="40" s="1"/>
  <c r="AK243" i="40" s="1"/>
  <c r="AL243" i="40" s="1"/>
  <c r="AM243" i="40" s="1"/>
  <c r="AN243" i="40" s="1"/>
  <c r="K245" i="40"/>
  <c r="L245" i="40" s="1"/>
  <c r="M245" i="40" s="1"/>
  <c r="N245" i="40" s="1"/>
  <c r="O245" i="40" s="1"/>
  <c r="P245" i="40" s="1"/>
  <c r="Q245" i="40" s="1"/>
  <c r="R245" i="40" s="1"/>
  <c r="S245" i="40" s="1"/>
  <c r="T245" i="40" s="1"/>
  <c r="U245" i="40" s="1"/>
  <c r="V245" i="40" s="1"/>
  <c r="W245" i="40" s="1"/>
  <c r="X245" i="40" s="1"/>
  <c r="Y245" i="40" s="1"/>
  <c r="Z245" i="40" s="1"/>
  <c r="AA245" i="40" s="1"/>
  <c r="AB245" i="40" s="1"/>
  <c r="AC245" i="40" s="1"/>
  <c r="AD245" i="40" s="1"/>
  <c r="AE245" i="40" s="1"/>
  <c r="AF245" i="40" s="1"/>
  <c r="AG245" i="40" s="1"/>
  <c r="AH245" i="40" s="1"/>
  <c r="AI245" i="40" s="1"/>
  <c r="AJ245" i="40" s="1"/>
  <c r="AK245" i="40" s="1"/>
  <c r="AL245" i="40" s="1"/>
  <c r="AM245" i="40" s="1"/>
  <c r="AN245" i="40" s="1"/>
  <c r="K247" i="40"/>
  <c r="L247" i="40" s="1"/>
  <c r="M247" i="40" s="1"/>
  <c r="N247" i="40" s="1"/>
  <c r="O247" i="40" s="1"/>
  <c r="P247" i="40" s="1"/>
  <c r="Q247" i="40" s="1"/>
  <c r="R247" i="40" s="1"/>
  <c r="S247" i="40" s="1"/>
  <c r="T247" i="40" s="1"/>
  <c r="U247" i="40" s="1"/>
  <c r="V247" i="40" s="1"/>
  <c r="W247" i="40" s="1"/>
  <c r="X247" i="40" s="1"/>
  <c r="Y247" i="40" s="1"/>
  <c r="Z247" i="40" s="1"/>
  <c r="AA247" i="40" s="1"/>
  <c r="AB247" i="40" s="1"/>
  <c r="AC247" i="40" s="1"/>
  <c r="AD247" i="40" s="1"/>
  <c r="AE247" i="40" s="1"/>
  <c r="AF247" i="40" s="1"/>
  <c r="AG247" i="40" s="1"/>
  <c r="AH247" i="40" s="1"/>
  <c r="AI247" i="40" s="1"/>
  <c r="AJ247" i="40" s="1"/>
  <c r="AK247" i="40" s="1"/>
  <c r="AL247" i="40" s="1"/>
  <c r="AM247" i="40" s="1"/>
  <c r="AN247" i="40" s="1"/>
  <c r="K249" i="40"/>
  <c r="L249" i="40" s="1"/>
  <c r="M249" i="40" s="1"/>
  <c r="N249" i="40" s="1"/>
  <c r="O249" i="40" s="1"/>
  <c r="P249" i="40" s="1"/>
  <c r="Q249" i="40" s="1"/>
  <c r="R249" i="40" s="1"/>
  <c r="S249" i="40" s="1"/>
  <c r="T249" i="40" s="1"/>
  <c r="U249" i="40" s="1"/>
  <c r="V249" i="40" s="1"/>
  <c r="W249" i="40" s="1"/>
  <c r="X249" i="40" s="1"/>
  <c r="Y249" i="40" s="1"/>
  <c r="Z249" i="40" s="1"/>
  <c r="AA249" i="40" s="1"/>
  <c r="AB249" i="40" s="1"/>
  <c r="AC249" i="40" s="1"/>
  <c r="AD249" i="40" s="1"/>
  <c r="AE249" i="40" s="1"/>
  <c r="AF249" i="40" s="1"/>
  <c r="AG249" i="40" s="1"/>
  <c r="AH249" i="40" s="1"/>
  <c r="AI249" i="40" s="1"/>
  <c r="AJ249" i="40" s="1"/>
  <c r="AK249" i="40" s="1"/>
  <c r="AL249" i="40" s="1"/>
  <c r="AM249" i="40" s="1"/>
  <c r="AN249" i="40" s="1"/>
  <c r="K251" i="40"/>
  <c r="L251" i="40" s="1"/>
  <c r="M251" i="40" s="1"/>
  <c r="N251" i="40" s="1"/>
  <c r="O251" i="40" s="1"/>
  <c r="P251" i="40" s="1"/>
  <c r="Q251" i="40" s="1"/>
  <c r="R251" i="40" s="1"/>
  <c r="S251" i="40" s="1"/>
  <c r="T251" i="40" s="1"/>
  <c r="U251" i="40" s="1"/>
  <c r="V251" i="40" s="1"/>
  <c r="W251" i="40" s="1"/>
  <c r="X251" i="40" s="1"/>
  <c r="Y251" i="40" s="1"/>
  <c r="Z251" i="40" s="1"/>
  <c r="AA251" i="40" s="1"/>
  <c r="AB251" i="40" s="1"/>
  <c r="AC251" i="40" s="1"/>
  <c r="AD251" i="40" s="1"/>
  <c r="AE251" i="40" s="1"/>
  <c r="AF251" i="40" s="1"/>
  <c r="AG251" i="40" s="1"/>
  <c r="AH251" i="40" s="1"/>
  <c r="AI251" i="40" s="1"/>
  <c r="AJ251" i="40" s="1"/>
  <c r="AK251" i="40" s="1"/>
  <c r="AL251" i="40" s="1"/>
  <c r="AM251" i="40" s="1"/>
  <c r="AN251" i="40" s="1"/>
  <c r="K253" i="40"/>
  <c r="L253" i="40" s="1"/>
  <c r="M253" i="40" s="1"/>
  <c r="N253" i="40" s="1"/>
  <c r="O253" i="40" s="1"/>
  <c r="P253" i="40" s="1"/>
  <c r="Q253" i="40" s="1"/>
  <c r="R253" i="40" s="1"/>
  <c r="S253" i="40" s="1"/>
  <c r="T253" i="40" s="1"/>
  <c r="U253" i="40" s="1"/>
  <c r="V253" i="40" s="1"/>
  <c r="W253" i="40" s="1"/>
  <c r="X253" i="40" s="1"/>
  <c r="Y253" i="40" s="1"/>
  <c r="Z253" i="40" s="1"/>
  <c r="AA253" i="40" s="1"/>
  <c r="AB253" i="40" s="1"/>
  <c r="AC253" i="40" s="1"/>
  <c r="AD253" i="40" s="1"/>
  <c r="AE253" i="40" s="1"/>
  <c r="AF253" i="40" s="1"/>
  <c r="AG253" i="40" s="1"/>
  <c r="AH253" i="40" s="1"/>
  <c r="AI253" i="40" s="1"/>
  <c r="AJ253" i="40" s="1"/>
  <c r="AK253" i="40" s="1"/>
  <c r="AL253" i="40" s="1"/>
  <c r="AM253" i="40" s="1"/>
  <c r="AN253" i="40" s="1"/>
  <c r="K255" i="40"/>
  <c r="L255" i="40"/>
  <c r="M255" i="40" s="1"/>
  <c r="N255" i="40" s="1"/>
  <c r="O255" i="40" s="1"/>
  <c r="P255" i="40" s="1"/>
  <c r="Q255" i="40" s="1"/>
  <c r="R255" i="40" s="1"/>
  <c r="S255" i="40" s="1"/>
  <c r="T255" i="40" s="1"/>
  <c r="U255" i="40" s="1"/>
  <c r="V255" i="40" s="1"/>
  <c r="W255" i="40" s="1"/>
  <c r="X255" i="40" s="1"/>
  <c r="Y255" i="40" s="1"/>
  <c r="Z255" i="40" s="1"/>
  <c r="AA255" i="40" s="1"/>
  <c r="AB255" i="40" s="1"/>
  <c r="AC255" i="40" s="1"/>
  <c r="AD255" i="40" s="1"/>
  <c r="AE255" i="40" s="1"/>
  <c r="AF255" i="40" s="1"/>
  <c r="AG255" i="40" s="1"/>
  <c r="AH255" i="40" s="1"/>
  <c r="AI255" i="40" s="1"/>
  <c r="AJ255" i="40" s="1"/>
  <c r="AK255" i="40" s="1"/>
  <c r="AL255" i="40" s="1"/>
  <c r="AM255" i="40" s="1"/>
  <c r="AN255" i="40" s="1"/>
  <c r="J256" i="40"/>
  <c r="K256" i="40"/>
  <c r="L256" i="40"/>
  <c r="M256" i="40"/>
  <c r="O256" i="40"/>
  <c r="P256" i="40"/>
  <c r="Q256" i="40"/>
  <c r="AB256" i="40"/>
  <c r="AG256" i="40"/>
  <c r="AL256" i="40"/>
  <c r="AM256" i="40"/>
  <c r="AN256" i="40"/>
  <c r="K257" i="40"/>
  <c r="L257" i="40" s="1"/>
  <c r="M257" i="40"/>
  <c r="N257" i="40" s="1"/>
  <c r="O257" i="40" s="1"/>
  <c r="P257" i="40" s="1"/>
  <c r="Q257" i="40" s="1"/>
  <c r="R257" i="40" s="1"/>
  <c r="S257" i="40" s="1"/>
  <c r="T257" i="40" s="1"/>
  <c r="U257" i="40" s="1"/>
  <c r="V257" i="40" s="1"/>
  <c r="W257" i="40" s="1"/>
  <c r="X257" i="40" s="1"/>
  <c r="Y257" i="40" s="1"/>
  <c r="Z257" i="40" s="1"/>
  <c r="AA257" i="40" s="1"/>
  <c r="AB257" i="40" s="1"/>
  <c r="AC257" i="40" s="1"/>
  <c r="AD257" i="40" s="1"/>
  <c r="AE257" i="40" s="1"/>
  <c r="AF257" i="40" s="1"/>
  <c r="AG257" i="40" s="1"/>
  <c r="AH257" i="40" s="1"/>
  <c r="AI257" i="40" s="1"/>
  <c r="AJ257" i="40" s="1"/>
  <c r="AK257" i="40" s="1"/>
  <c r="AL257" i="40" s="1"/>
  <c r="AM257" i="40" s="1"/>
  <c r="AN257" i="40" s="1"/>
  <c r="J258" i="40"/>
  <c r="K258" i="40"/>
  <c r="L258" i="40"/>
  <c r="M258" i="40"/>
  <c r="N258" i="40"/>
  <c r="O258" i="40"/>
  <c r="P258" i="40"/>
  <c r="Q258" i="40"/>
  <c r="R258" i="40"/>
  <c r="S258" i="40" s="1"/>
  <c r="T258" i="40" s="1"/>
  <c r="U258" i="40" s="1"/>
  <c r="V258" i="40" s="1"/>
  <c r="W258" i="40" s="1"/>
  <c r="X258" i="40" s="1"/>
  <c r="Y258" i="40" s="1"/>
  <c r="Z258" i="40" s="1"/>
  <c r="AA258" i="40" s="1"/>
  <c r="AB258" i="40" s="1"/>
  <c r="AC258" i="40" s="1"/>
  <c r="AD258" i="40" s="1"/>
  <c r="AE258" i="40" s="1"/>
  <c r="AF258" i="40" s="1"/>
  <c r="AG258" i="40" s="1"/>
  <c r="AH258" i="40" s="1"/>
  <c r="AI258" i="40" s="1"/>
  <c r="AJ258" i="40" s="1"/>
  <c r="AK258" i="40" s="1"/>
  <c r="AL258" i="40" s="1"/>
  <c r="AM258" i="40" s="1"/>
  <c r="AN258" i="40" s="1"/>
  <c r="K259" i="40"/>
  <c r="L259" i="40"/>
  <c r="M259" i="40"/>
  <c r="N259" i="40"/>
  <c r="O259" i="40" s="1"/>
  <c r="P259" i="40" s="1"/>
  <c r="Q259" i="40" s="1"/>
  <c r="R259" i="40" s="1"/>
  <c r="S259" i="40" s="1"/>
  <c r="T259" i="40" s="1"/>
  <c r="U259" i="40" s="1"/>
  <c r="V259" i="40" s="1"/>
  <c r="W259" i="40" s="1"/>
  <c r="X259" i="40" s="1"/>
  <c r="Y259" i="40" s="1"/>
  <c r="Z259" i="40" s="1"/>
  <c r="AA259" i="40" s="1"/>
  <c r="AB259" i="40" s="1"/>
  <c r="AC259" i="40" s="1"/>
  <c r="AD259" i="40" s="1"/>
  <c r="AE259" i="40" s="1"/>
  <c r="AF259" i="40" s="1"/>
  <c r="AG259" i="40" s="1"/>
  <c r="AH259" i="40" s="1"/>
  <c r="AI259" i="40" s="1"/>
  <c r="AJ259" i="40" s="1"/>
  <c r="AK259" i="40" s="1"/>
  <c r="AL259" i="40" s="1"/>
  <c r="AM259" i="40" s="1"/>
  <c r="AN259" i="40" s="1"/>
  <c r="K261" i="40"/>
  <c r="L261" i="40" s="1"/>
  <c r="M261" i="40" s="1"/>
  <c r="N261" i="40" s="1"/>
  <c r="O261" i="40" s="1"/>
  <c r="P261" i="40" s="1"/>
  <c r="Q261" i="40" s="1"/>
  <c r="R261" i="40" s="1"/>
  <c r="S261" i="40" s="1"/>
  <c r="T261" i="40" s="1"/>
  <c r="U261" i="40" s="1"/>
  <c r="V261" i="40" s="1"/>
  <c r="W261" i="40" s="1"/>
  <c r="X261" i="40" s="1"/>
  <c r="Y261" i="40" s="1"/>
  <c r="Z261" i="40" s="1"/>
  <c r="AA261" i="40" s="1"/>
  <c r="AB261" i="40" s="1"/>
  <c r="AC261" i="40" s="1"/>
  <c r="AD261" i="40" s="1"/>
  <c r="AE261" i="40" s="1"/>
  <c r="AF261" i="40" s="1"/>
  <c r="AG261" i="40" s="1"/>
  <c r="AH261" i="40" s="1"/>
  <c r="AI261" i="40" s="1"/>
  <c r="AJ261" i="40" s="1"/>
  <c r="AK261" i="40" s="1"/>
  <c r="AL261" i="40" s="1"/>
  <c r="AM261" i="40" s="1"/>
  <c r="AN261" i="40" s="1"/>
  <c r="K263" i="40"/>
  <c r="L263" i="40"/>
  <c r="M263" i="40" s="1"/>
  <c r="N263" i="40" s="1"/>
  <c r="O263" i="40"/>
  <c r="P263" i="40" s="1"/>
  <c r="Q263" i="40" s="1"/>
  <c r="R263" i="40" s="1"/>
  <c r="S263" i="40" s="1"/>
  <c r="T263" i="40" s="1"/>
  <c r="U263" i="40" s="1"/>
  <c r="V263" i="40" s="1"/>
  <c r="W263" i="40" s="1"/>
  <c r="X263" i="40" s="1"/>
  <c r="Y263" i="40" s="1"/>
  <c r="Z263" i="40" s="1"/>
  <c r="AA263" i="40" s="1"/>
  <c r="AB263" i="40" s="1"/>
  <c r="AC263" i="40" s="1"/>
  <c r="AD263" i="40" s="1"/>
  <c r="AE263" i="40" s="1"/>
  <c r="AF263" i="40" s="1"/>
  <c r="AG263" i="40" s="1"/>
  <c r="AH263" i="40" s="1"/>
  <c r="AI263" i="40" s="1"/>
  <c r="AJ263" i="40" s="1"/>
  <c r="AK263" i="40" s="1"/>
  <c r="AL263" i="40" s="1"/>
  <c r="AM263" i="40" s="1"/>
  <c r="AN263" i="40" s="1"/>
  <c r="K264" i="40"/>
  <c r="L264" i="40"/>
  <c r="M264" i="40" s="1"/>
  <c r="N264" i="40"/>
  <c r="O264" i="40"/>
  <c r="P264" i="40" s="1"/>
  <c r="Q264" i="40" s="1"/>
  <c r="R264" i="40" s="1"/>
  <c r="S264" i="40" s="1"/>
  <c r="T264" i="40" s="1"/>
  <c r="U264" i="40" s="1"/>
  <c r="V264" i="40" s="1"/>
  <c r="W264" i="40" s="1"/>
  <c r="X264" i="40" s="1"/>
  <c r="Y264" i="40" s="1"/>
  <c r="Z264" i="40" s="1"/>
  <c r="AA264" i="40" s="1"/>
  <c r="AB264" i="40" s="1"/>
  <c r="AC264" i="40" s="1"/>
  <c r="AD264" i="40" s="1"/>
  <c r="AE264" i="40" s="1"/>
  <c r="AF264" i="40" s="1"/>
  <c r="AG264" i="40" s="1"/>
  <c r="AH264" i="40" s="1"/>
  <c r="AI264" i="40" s="1"/>
  <c r="AJ264" i="40" s="1"/>
  <c r="AK264" i="40" s="1"/>
  <c r="AL264" i="40" s="1"/>
  <c r="AM264" i="40" s="1"/>
  <c r="AN264" i="40" s="1"/>
  <c r="K265" i="40"/>
  <c r="L265" i="40"/>
  <c r="M265" i="40" s="1"/>
  <c r="N265" i="40"/>
  <c r="O265" i="40" s="1"/>
  <c r="P265" i="40" s="1"/>
  <c r="Q265" i="40" s="1"/>
  <c r="R265" i="40" s="1"/>
  <c r="S265" i="40" s="1"/>
  <c r="T265" i="40" s="1"/>
  <c r="U265" i="40" s="1"/>
  <c r="V265" i="40" s="1"/>
  <c r="W265" i="40" s="1"/>
  <c r="X265" i="40" s="1"/>
  <c r="Y265" i="40" s="1"/>
  <c r="Z265" i="40" s="1"/>
  <c r="AA265" i="40" s="1"/>
  <c r="AB265" i="40" s="1"/>
  <c r="AC265" i="40" s="1"/>
  <c r="AD265" i="40" s="1"/>
  <c r="AE265" i="40" s="1"/>
  <c r="AF265" i="40" s="1"/>
  <c r="AG265" i="40" s="1"/>
  <c r="AH265" i="40" s="1"/>
  <c r="AI265" i="40" s="1"/>
  <c r="AJ265" i="40" s="1"/>
  <c r="AK265" i="40" s="1"/>
  <c r="AL265" i="40" s="1"/>
  <c r="AM265" i="40" s="1"/>
  <c r="AN265" i="40" s="1"/>
  <c r="K266" i="40"/>
  <c r="L266" i="40"/>
  <c r="M266" i="40" s="1"/>
  <c r="N266" i="40" s="1"/>
  <c r="O266" i="40" s="1"/>
  <c r="P266" i="40" s="1"/>
  <c r="Q266" i="40" s="1"/>
  <c r="R266" i="40" s="1"/>
  <c r="S266" i="40" s="1"/>
  <c r="T266" i="40" s="1"/>
  <c r="U266" i="40" s="1"/>
  <c r="V266" i="40" s="1"/>
  <c r="W266" i="40" s="1"/>
  <c r="X266" i="40" s="1"/>
  <c r="Y266" i="40" s="1"/>
  <c r="Z266" i="40" s="1"/>
  <c r="AA266" i="40" s="1"/>
  <c r="AB266" i="40" s="1"/>
  <c r="AC266" i="40" s="1"/>
  <c r="AD266" i="40" s="1"/>
  <c r="AE266" i="40" s="1"/>
  <c r="AF266" i="40" s="1"/>
  <c r="AG266" i="40" s="1"/>
  <c r="AH266" i="40" s="1"/>
  <c r="AI266" i="40" s="1"/>
  <c r="AJ266" i="40" s="1"/>
  <c r="AK266" i="40" s="1"/>
  <c r="AL266" i="40" s="1"/>
  <c r="AM266" i="40" s="1"/>
  <c r="AN266" i="40" s="1"/>
  <c r="K267" i="40"/>
  <c r="L267" i="40" s="1"/>
  <c r="M267" i="40" s="1"/>
  <c r="N267" i="40" s="1"/>
  <c r="O267" i="40" s="1"/>
  <c r="P267" i="40" s="1"/>
  <c r="Q267" i="40" s="1"/>
  <c r="R267" i="40" s="1"/>
  <c r="S267" i="40" s="1"/>
  <c r="T267" i="40" s="1"/>
  <c r="U267" i="40" s="1"/>
  <c r="V267" i="40" s="1"/>
  <c r="W267" i="40" s="1"/>
  <c r="X267" i="40" s="1"/>
  <c r="Y267" i="40" s="1"/>
  <c r="Z267" i="40" s="1"/>
  <c r="AA267" i="40" s="1"/>
  <c r="AB267" i="40" s="1"/>
  <c r="AC267" i="40" s="1"/>
  <c r="AD267" i="40" s="1"/>
  <c r="AE267" i="40" s="1"/>
  <c r="AF267" i="40" s="1"/>
  <c r="AG267" i="40" s="1"/>
  <c r="AH267" i="40" s="1"/>
  <c r="AI267" i="40" s="1"/>
  <c r="AJ267" i="40" s="1"/>
  <c r="AK267" i="40" s="1"/>
  <c r="AL267" i="40" s="1"/>
  <c r="AM267" i="40" s="1"/>
  <c r="AN267" i="40" s="1"/>
  <c r="K268" i="40"/>
  <c r="L268" i="40"/>
  <c r="M268" i="40" s="1"/>
  <c r="N268" i="40"/>
  <c r="O268" i="40" s="1"/>
  <c r="P268" i="40" s="1"/>
  <c r="Q268" i="40" s="1"/>
  <c r="R268" i="40" s="1"/>
  <c r="S268" i="40" s="1"/>
  <c r="T268" i="40" s="1"/>
  <c r="U268" i="40" s="1"/>
  <c r="V268" i="40" s="1"/>
  <c r="W268" i="40" s="1"/>
  <c r="X268" i="40" s="1"/>
  <c r="Y268" i="40" s="1"/>
  <c r="Z268" i="40" s="1"/>
  <c r="AA268" i="40" s="1"/>
  <c r="AB268" i="40" s="1"/>
  <c r="AC268" i="40" s="1"/>
  <c r="AD268" i="40" s="1"/>
  <c r="AE268" i="40" s="1"/>
  <c r="AF268" i="40" s="1"/>
  <c r="AG268" i="40" s="1"/>
  <c r="AH268" i="40" s="1"/>
  <c r="AI268" i="40" s="1"/>
  <c r="AJ268" i="40" s="1"/>
  <c r="AK268" i="40" s="1"/>
  <c r="AL268" i="40" s="1"/>
  <c r="AM268" i="40" s="1"/>
  <c r="AN268" i="40" s="1"/>
  <c r="E36" i="10"/>
  <c r="E91" i="4" a="1"/>
  <c r="E91" i="4" s="1"/>
  <c r="F97" i="4"/>
  <c r="F187" i="4"/>
  <c r="N40" i="43" l="1"/>
  <c r="O40" i="43" s="1"/>
  <c r="P40" i="43" s="1"/>
  <c r="M22" i="43"/>
  <c r="AB44" i="40" s="1"/>
  <c r="M24" i="43"/>
  <c r="AB50" i="40" s="1"/>
  <c r="M23" i="43"/>
  <c r="AB47" i="40" s="1"/>
  <c r="M25" i="43"/>
  <c r="AB51" i="40" s="1"/>
  <c r="M21" i="43"/>
  <c r="AB42" i="40" s="1"/>
  <c r="M16" i="43"/>
  <c r="M19" i="43"/>
  <c r="O103" i="42"/>
  <c r="J17" i="40" s="1"/>
  <c r="AH256" i="40"/>
  <c r="AI256" i="40" s="1"/>
  <c r="AJ256" i="40" s="1"/>
  <c r="AK256" i="40" s="1"/>
  <c r="O122" i="42"/>
  <c r="J161" i="40" s="1"/>
  <c r="O117" i="42"/>
  <c r="J156" i="40" s="1"/>
  <c r="O108" i="42"/>
  <c r="J22" i="40" s="1"/>
  <c r="O102" i="42"/>
  <c r="J16" i="40" s="1"/>
  <c r="O101" i="42"/>
  <c r="J15" i="40" s="1"/>
  <c r="O96" i="42"/>
  <c r="J10" i="40" s="1"/>
  <c r="O91" i="42"/>
  <c r="J5" i="40" s="1"/>
  <c r="R56" i="42"/>
  <c r="O84" i="40" s="1"/>
  <c r="O77" i="40"/>
  <c r="O49" i="40"/>
  <c r="I18" i="43" s="1"/>
  <c r="M18" i="43" s="1"/>
  <c r="I17" i="43"/>
  <c r="M17" i="43" s="1"/>
  <c r="R72" i="42" a="1"/>
  <c r="R72" i="42" s="1"/>
  <c r="N42" i="43"/>
  <c r="O90" i="42"/>
  <c r="J4" i="40" s="1"/>
  <c r="W256" i="40"/>
  <c r="X256" i="40" s="1"/>
  <c r="Y256" i="40" s="1"/>
  <c r="Z256" i="40" s="1"/>
  <c r="AA256" i="40" s="1"/>
  <c r="R45" i="42" a="1"/>
  <c r="R45" i="42" s="1"/>
  <c r="O73" i="40" s="1"/>
  <c r="R43" i="42" a="1"/>
  <c r="R43" i="42" s="1"/>
  <c r="O71" i="40" s="1"/>
  <c r="AI18" i="42"/>
  <c r="M24" i="40" s="1"/>
  <c r="AH18" i="42"/>
  <c r="L24" i="40" s="1"/>
  <c r="O116" i="42"/>
  <c r="J155" i="40" s="1"/>
  <c r="R67" i="42" a="1"/>
  <c r="R67" i="42" s="1"/>
  <c r="O95" i="40" s="1"/>
  <c r="AK18" i="42"/>
  <c r="O24" i="40" s="1"/>
  <c r="AG18" i="42"/>
  <c r="K24" i="40" s="1"/>
  <c r="O115" i="42"/>
  <c r="J154" i="40" s="1"/>
  <c r="AN18" i="42"/>
  <c r="R24" i="40" s="1"/>
  <c r="AJ18" i="42"/>
  <c r="N24" i="40" s="1"/>
  <c r="R66" i="42" a="1"/>
  <c r="R66" i="42" s="1"/>
  <c r="O94" i="40" s="1"/>
  <c r="O53" i="40"/>
  <c r="R52" i="42" a="1"/>
  <c r="R52" i="42" s="1"/>
  <c r="R59" i="42" s="1"/>
  <c r="O87" i="40" s="1"/>
  <c r="AF18" i="42"/>
  <c r="H231" i="40"/>
  <c r="H227" i="40"/>
  <c r="N48" i="43"/>
  <c r="O48" i="43" s="1"/>
  <c r="P48" i="43" s="1"/>
  <c r="H225" i="40"/>
  <c r="I53" i="43"/>
  <c r="J240" i="40" s="1"/>
  <c r="P47" i="43"/>
  <c r="Q47" i="43" s="1"/>
  <c r="AN254" i="40" s="1"/>
  <c r="AL254" i="40"/>
  <c r="K244" i="40"/>
  <c r="L244" i="40" s="1"/>
  <c r="AL240" i="40"/>
  <c r="P43" i="43"/>
  <c r="Q43" i="43" s="1"/>
  <c r="AN246" i="40" s="1"/>
  <c r="AL246" i="40"/>
  <c r="AC256" i="40"/>
  <c r="AD256" i="40" s="1"/>
  <c r="AE256" i="40" s="1"/>
  <c r="AF256" i="40" s="1"/>
  <c r="H239" i="40"/>
  <c r="H234" i="40"/>
  <c r="H230" i="40"/>
  <c r="J62" i="43"/>
  <c r="M262" i="40" s="1"/>
  <c r="N262" i="40" s="1"/>
  <c r="O262" i="40" s="1"/>
  <c r="P262" i="40" s="1"/>
  <c r="Q262" i="40" s="1"/>
  <c r="AM254" i="40"/>
  <c r="AB252" i="40"/>
  <c r="X252" i="40" s="1"/>
  <c r="Y252" i="40" s="1"/>
  <c r="Z252" i="40" s="1"/>
  <c r="AA252" i="40" s="1"/>
  <c r="J58" i="43"/>
  <c r="M250" i="40" s="1"/>
  <c r="N250" i="40" s="1"/>
  <c r="O250" i="40" s="1"/>
  <c r="P250" i="40" s="1"/>
  <c r="Q250" i="40" s="1"/>
  <c r="AB244" i="40"/>
  <c r="J54" i="43"/>
  <c r="M242" i="40" s="1"/>
  <c r="N242" i="40" s="1"/>
  <c r="O242" i="40" s="1"/>
  <c r="P242" i="40" s="1"/>
  <c r="Q242" i="40" s="1"/>
  <c r="AG254" i="40"/>
  <c r="AC254" i="40" s="1"/>
  <c r="AD254" i="40" s="1"/>
  <c r="AE254" i="40" s="1"/>
  <c r="AF254" i="40" s="1"/>
  <c r="K59" i="43"/>
  <c r="R252" i="40" s="1"/>
  <c r="S252" i="40" s="1"/>
  <c r="T252" i="40" s="1"/>
  <c r="U252" i="40" s="1"/>
  <c r="V252" i="40" s="1"/>
  <c r="AG246" i="40"/>
  <c r="AC246" i="40" s="1"/>
  <c r="AD246" i="40" s="1"/>
  <c r="AE246" i="40" s="1"/>
  <c r="AF246" i="40" s="1"/>
  <c r="K55" i="43"/>
  <c r="R244" i="40" s="1"/>
  <c r="N244" i="40" s="1"/>
  <c r="O244" i="40" s="1"/>
  <c r="P244" i="40" s="1"/>
  <c r="Q244" i="40" s="1"/>
  <c r="H238" i="40"/>
  <c r="AN262" i="40"/>
  <c r="K60" i="43"/>
  <c r="R254" i="40" s="1"/>
  <c r="S254" i="40" s="1"/>
  <c r="T254" i="40" s="1"/>
  <c r="U254" i="40" s="1"/>
  <c r="V254" i="40" s="1"/>
  <c r="AN250" i="40"/>
  <c r="K56" i="43"/>
  <c r="R246" i="40" s="1"/>
  <c r="S246" i="40" s="1"/>
  <c r="T246" i="40" s="1"/>
  <c r="U246" i="40" s="1"/>
  <c r="V246" i="40" s="1"/>
  <c r="AN242" i="40"/>
  <c r="AG240" i="40"/>
  <c r="N44" i="43"/>
  <c r="O44" i="43" s="1"/>
  <c r="L40" i="43"/>
  <c r="W240" i="40" s="1"/>
  <c r="X254" i="40"/>
  <c r="Y254" i="40" s="1"/>
  <c r="Z254" i="40" s="1"/>
  <c r="AA254" i="40" s="1"/>
  <c r="H233" i="40"/>
  <c r="H228" i="40"/>
  <c r="AM262" i="40"/>
  <c r="AB260" i="40"/>
  <c r="J60" i="43"/>
  <c r="M254" i="40" s="1"/>
  <c r="AM250" i="40"/>
  <c r="AB248" i="40"/>
  <c r="J56" i="43"/>
  <c r="M246" i="40" s="1"/>
  <c r="AM242" i="40"/>
  <c r="AB240" i="40"/>
  <c r="N46" i="43"/>
  <c r="AL262" i="40"/>
  <c r="W260" i="40"/>
  <c r="I60" i="43"/>
  <c r="J254" i="40" s="1"/>
  <c r="AL250" i="40"/>
  <c r="W248" i="40"/>
  <c r="I56" i="43"/>
  <c r="J246" i="40" s="1"/>
  <c r="AL242" i="40"/>
  <c r="AG262" i="40"/>
  <c r="K61" i="43"/>
  <c r="R260" i="40" s="1"/>
  <c r="AG250" i="40"/>
  <c r="K57" i="43"/>
  <c r="R248" i="40" s="1"/>
  <c r="AG242" i="40"/>
  <c r="K53" i="43"/>
  <c r="R240" i="40" s="1"/>
  <c r="X246" i="40"/>
  <c r="Y246" i="40" s="1"/>
  <c r="Z246" i="40" s="1"/>
  <c r="AA246" i="40" s="1"/>
  <c r="AB262" i="40"/>
  <c r="J61" i="43"/>
  <c r="M260" i="40" s="1"/>
  <c r="AB250" i="40"/>
  <c r="J57" i="43"/>
  <c r="M248" i="40" s="1"/>
  <c r="AB242" i="40"/>
  <c r="J53" i="43"/>
  <c r="M240" i="40" s="1"/>
  <c r="W262" i="40"/>
  <c r="I61" i="43"/>
  <c r="J260" i="40" s="1"/>
  <c r="W250" i="40"/>
  <c r="S250" i="40" s="1"/>
  <c r="T250" i="40" s="1"/>
  <c r="U250" i="40" s="1"/>
  <c r="V250" i="40" s="1"/>
  <c r="I57" i="43"/>
  <c r="J248" i="40" s="1"/>
  <c r="W242" i="40"/>
  <c r="J90" i="40"/>
  <c r="R62" i="42"/>
  <c r="O90" i="40" s="1"/>
  <c r="K252" i="40"/>
  <c r="L252" i="40" s="1"/>
  <c r="R77" i="42"/>
  <c r="O105" i="40" s="1"/>
  <c r="O98" i="40"/>
  <c r="R80" i="42"/>
  <c r="O108" i="40" s="1"/>
  <c r="O101" i="40"/>
  <c r="O55" i="40"/>
  <c r="R36" i="42"/>
  <c r="O64" i="40" s="1"/>
  <c r="O80" i="40"/>
  <c r="R55" i="42"/>
  <c r="O83" i="40" s="1"/>
  <c r="O76" i="40"/>
  <c r="J112" i="40"/>
  <c r="O100" i="40"/>
  <c r="R79" i="42"/>
  <c r="O107" i="40" s="1"/>
  <c r="R39" i="42"/>
  <c r="O67" i="40" s="1"/>
  <c r="O58" i="40"/>
  <c r="U13" i="42"/>
  <c r="J117" i="40" s="1"/>
  <c r="V13" i="42"/>
  <c r="R35" i="42"/>
  <c r="O63" i="40" s="1"/>
  <c r="O54" i="40"/>
  <c r="L26" i="42"/>
  <c r="O26" i="42" s="1"/>
  <c r="J54" i="40" s="1"/>
  <c r="O25" i="42"/>
  <c r="J53" i="40" s="1"/>
  <c r="AN53" i="40" s="1"/>
  <c r="R57" i="42"/>
  <c r="O85" i="40" s="1"/>
  <c r="O78" i="40"/>
  <c r="R16" i="42"/>
  <c r="S16" i="42" s="1"/>
  <c r="J113" i="40" s="1"/>
  <c r="T16" i="42"/>
  <c r="O102" i="40"/>
  <c r="R81" i="42"/>
  <c r="O109" i="40" s="1"/>
  <c r="O99" i="40"/>
  <c r="R78" i="42"/>
  <c r="O106" i="40" s="1"/>
  <c r="R37" i="42"/>
  <c r="O65" i="40" s="1"/>
  <c r="O56" i="40"/>
  <c r="O27" i="42"/>
  <c r="J55" i="40" s="1"/>
  <c r="L28" i="42"/>
  <c r="O28" i="42" s="1"/>
  <c r="J56" i="40" s="1"/>
  <c r="AN56" i="40" s="1"/>
  <c r="R63" i="42"/>
  <c r="O91" i="40" s="1"/>
  <c r="J91" i="40"/>
  <c r="U15" i="42"/>
  <c r="J119" i="40" s="1"/>
  <c r="V15" i="42"/>
  <c r="S124" i="40" s="1"/>
  <c r="O120" i="42"/>
  <c r="J159" i="40" s="1"/>
  <c r="O106" i="42"/>
  <c r="J20" i="40" s="1"/>
  <c r="O94" i="42"/>
  <c r="J8" i="40" s="1"/>
  <c r="O51" i="42"/>
  <c r="J79" i="40" s="1"/>
  <c r="H17" i="42"/>
  <c r="J16" i="42"/>
  <c r="J18" i="42" s="1"/>
  <c r="O119" i="42"/>
  <c r="J158" i="40" s="1"/>
  <c r="O105" i="42"/>
  <c r="J19" i="40" s="1"/>
  <c r="O93" i="42"/>
  <c r="J7" i="40" s="1"/>
  <c r="L31" i="42"/>
  <c r="O31" i="42" s="1"/>
  <c r="J59" i="40" s="1"/>
  <c r="AN59" i="40" s="1"/>
  <c r="G17" i="42"/>
  <c r="L67" i="42" s="1"/>
  <c r="O67" i="42" s="1"/>
  <c r="J95" i="40" s="1"/>
  <c r="H16" i="42"/>
  <c r="L43" i="42" s="1"/>
  <c r="O43" i="42" s="1"/>
  <c r="J71" i="40" s="1"/>
  <c r="O118" i="42"/>
  <c r="J157" i="40" s="1"/>
  <c r="O104" i="42"/>
  <c r="J18" i="40" s="1"/>
  <c r="O92" i="42"/>
  <c r="J6" i="40" s="1"/>
  <c r="F17" i="42"/>
  <c r="L68" i="42" s="1"/>
  <c r="O68" i="42" s="1"/>
  <c r="J96" i="40" s="1"/>
  <c r="G16" i="42"/>
  <c r="L45" i="42" s="1"/>
  <c r="O45" i="42" s="1"/>
  <c r="J73" i="40" s="1"/>
  <c r="O114" i="42"/>
  <c r="J153" i="40" s="1"/>
  <c r="O100" i="42"/>
  <c r="J14" i="40" s="1"/>
  <c r="O89" i="42"/>
  <c r="J3" i="40" s="1"/>
  <c r="O125" i="42"/>
  <c r="J164" i="40" s="1"/>
  <c r="O113" i="42"/>
  <c r="J152" i="40" s="1"/>
  <c r="O99" i="42"/>
  <c r="J13" i="40" s="1"/>
  <c r="O124" i="42"/>
  <c r="J163" i="40" s="1"/>
  <c r="O112" i="42"/>
  <c r="J151" i="40" s="1"/>
  <c r="O98" i="42"/>
  <c r="J12" i="40" s="1"/>
  <c r="V14" i="42"/>
  <c r="S126" i="40" s="1"/>
  <c r="O123" i="42"/>
  <c r="J162" i="40" s="1"/>
  <c r="O109" i="42"/>
  <c r="J23" i="40" s="1"/>
  <c r="O97" i="42"/>
  <c r="J11" i="40" s="1"/>
  <c r="R31" i="42" a="1"/>
  <c r="R31" i="42" s="1"/>
  <c r="K17" i="42"/>
  <c r="O121" i="42"/>
  <c r="J160" i="40" s="1"/>
  <c r="O107" i="42"/>
  <c r="J21" i="40" s="1"/>
  <c r="R51" i="42" a="1"/>
  <c r="R51" i="42" s="1"/>
  <c r="K155" i="13"/>
  <c r="H155" i="13"/>
  <c r="H156" i="13"/>
  <c r="C114" i="13"/>
  <c r="C112" i="13"/>
  <c r="C116" i="13"/>
  <c r="F150" i="13" s="1"/>
  <c r="K150" i="13" s="1"/>
  <c r="E123" i="23"/>
  <c r="C117" i="13"/>
  <c r="G150" i="13" s="1"/>
  <c r="H63" i="37"/>
  <c r="J63" i="37" s="1"/>
  <c r="H62" i="37"/>
  <c r="J62" i="37" s="1"/>
  <c r="H61" i="37"/>
  <c r="J61" i="37" s="1"/>
  <c r="H60" i="37"/>
  <c r="J60" i="37" s="1"/>
  <c r="H59" i="37"/>
  <c r="J59" i="37" s="1"/>
  <c r="H58" i="37"/>
  <c r="J58" i="37" s="1"/>
  <c r="H53" i="37"/>
  <c r="J53" i="37" s="1"/>
  <c r="H52" i="37"/>
  <c r="J52" i="37" s="1"/>
  <c r="H48" i="37"/>
  <c r="J48" i="37" s="1"/>
  <c r="H47" i="37"/>
  <c r="J47" i="37" s="1"/>
  <c r="H46" i="37"/>
  <c r="J46" i="37" s="1"/>
  <c r="H45" i="37"/>
  <c r="J45" i="37" s="1"/>
  <c r="H44" i="37"/>
  <c r="J44" i="37" s="1"/>
  <c r="H43" i="37"/>
  <c r="J43" i="37" s="1"/>
  <c r="H42" i="37"/>
  <c r="J42" i="37" s="1"/>
  <c r="H33" i="37"/>
  <c r="J33" i="37" s="1"/>
  <c r="H32" i="37"/>
  <c r="J32" i="37" s="1"/>
  <c r="H31" i="37"/>
  <c r="J31" i="37" s="1"/>
  <c r="H30" i="37"/>
  <c r="J30" i="37" s="1"/>
  <c r="H29" i="37"/>
  <c r="J29" i="37" s="1"/>
  <c r="H28" i="37"/>
  <c r="J28" i="37" s="1"/>
  <c r="H26" i="37"/>
  <c r="J26" i="37" s="1"/>
  <c r="H25" i="37"/>
  <c r="J25" i="37" s="1"/>
  <c r="H20" i="37"/>
  <c r="J20" i="37" s="1"/>
  <c r="H19" i="37"/>
  <c r="J19" i="37" s="1"/>
  <c r="H18" i="37"/>
  <c r="J18" i="37" s="1"/>
  <c r="H17" i="37"/>
  <c r="J17" i="37" s="1"/>
  <c r="H16" i="37"/>
  <c r="J16" i="37" s="1"/>
  <c r="H15" i="37"/>
  <c r="J15" i="37" s="1"/>
  <c r="H14" i="37"/>
  <c r="J14" i="37" s="1"/>
  <c r="H13" i="37"/>
  <c r="J13" i="37" s="1"/>
  <c r="H12" i="37"/>
  <c r="J12" i="37" s="1"/>
  <c r="H11" i="37"/>
  <c r="J11" i="37" s="1"/>
  <c r="H10" i="37"/>
  <c r="J10" i="37" s="1"/>
  <c r="H9" i="37"/>
  <c r="J9" i="37" s="1"/>
  <c r="H8" i="37"/>
  <c r="J8" i="37" s="1"/>
  <c r="F156" i="13"/>
  <c r="K156" i="13" s="1"/>
  <c r="F157" i="13"/>
  <c r="K157" i="13" s="1"/>
  <c r="D156" i="13"/>
  <c r="S154" i="13"/>
  <c r="D157" i="13" s="1"/>
  <c r="H157" i="13" s="1"/>
  <c r="T154" i="13"/>
  <c r="D154" i="13" s="1"/>
  <c r="H154" i="13" s="1"/>
  <c r="U154" i="13"/>
  <c r="V154" i="13"/>
  <c r="W154" i="13"/>
  <c r="D155" i="13" s="1"/>
  <c r="X154" i="13"/>
  <c r="T155" i="13"/>
  <c r="E154" i="13" s="1"/>
  <c r="I154" i="13" s="1"/>
  <c r="U155" i="13"/>
  <c r="V155" i="13"/>
  <c r="E156" i="13" s="1"/>
  <c r="I156" i="13" s="1"/>
  <c r="W155" i="13"/>
  <c r="E155" i="13" s="1"/>
  <c r="I155" i="13" s="1"/>
  <c r="X155" i="13"/>
  <c r="S156" i="13"/>
  <c r="T156" i="13"/>
  <c r="F154" i="13" s="1"/>
  <c r="K154" i="13" s="1"/>
  <c r="U156" i="13"/>
  <c r="V156" i="13"/>
  <c r="W156" i="13"/>
  <c r="F155" i="13" s="1"/>
  <c r="X156" i="13"/>
  <c r="S157" i="13"/>
  <c r="G157" i="13" s="1"/>
  <c r="T157" i="13"/>
  <c r="G154" i="13" s="1"/>
  <c r="U157" i="13"/>
  <c r="V157" i="13"/>
  <c r="G156" i="13" s="1"/>
  <c r="W157" i="13"/>
  <c r="G155" i="13" s="1"/>
  <c r="X157" i="13"/>
  <c r="S158" i="13"/>
  <c r="T158" i="13"/>
  <c r="U158" i="13"/>
  <c r="V158" i="13"/>
  <c r="W158" i="13"/>
  <c r="X158" i="13"/>
  <c r="R155" i="13"/>
  <c r="E153" i="13" s="1"/>
  <c r="I153" i="13" s="1"/>
  <c r="R156" i="13"/>
  <c r="F153" i="13" s="1"/>
  <c r="K153" i="13" s="1"/>
  <c r="R157" i="13"/>
  <c r="G153" i="13" s="1"/>
  <c r="R158" i="13"/>
  <c r="R154" i="13"/>
  <c r="D153" i="13" s="1"/>
  <c r="H153" i="13" s="1"/>
  <c r="N254" i="40" l="1"/>
  <c r="O254" i="40" s="1"/>
  <c r="P254" i="40" s="1"/>
  <c r="Q254" i="40" s="1"/>
  <c r="S256" i="40"/>
  <c r="T256" i="40" s="1"/>
  <c r="U256" i="40" s="1"/>
  <c r="V256" i="40" s="1"/>
  <c r="AL260" i="40"/>
  <c r="J40" i="37"/>
  <c r="O42" i="43"/>
  <c r="AG244" i="40"/>
  <c r="AC244" i="40" s="1"/>
  <c r="AD244" i="40" s="1"/>
  <c r="AE244" i="40" s="1"/>
  <c r="AF244" i="40" s="1"/>
  <c r="J39" i="37"/>
  <c r="AG260" i="40"/>
  <c r="AC260" i="40" s="1"/>
  <c r="AD260" i="40" s="1"/>
  <c r="AE260" i="40" s="1"/>
  <c r="AF260" i="40" s="1"/>
  <c r="H158" i="13"/>
  <c r="K158" i="13"/>
  <c r="K248" i="40"/>
  <c r="L248" i="40" s="1"/>
  <c r="X262" i="40"/>
  <c r="Y262" i="40" s="1"/>
  <c r="Z262" i="40" s="1"/>
  <c r="AA262" i="40" s="1"/>
  <c r="S248" i="40"/>
  <c r="T248" i="40" s="1"/>
  <c r="U248" i="40" s="1"/>
  <c r="V248" i="40" s="1"/>
  <c r="X260" i="40"/>
  <c r="Y260" i="40" s="1"/>
  <c r="Z260" i="40" s="1"/>
  <c r="AA260" i="40" s="1"/>
  <c r="K242" i="40"/>
  <c r="L242" i="40" s="1"/>
  <c r="AC262" i="40"/>
  <c r="AD262" i="40" s="1"/>
  <c r="AE262" i="40" s="1"/>
  <c r="AF262" i="40" s="1"/>
  <c r="K260" i="40"/>
  <c r="L260" i="40" s="1"/>
  <c r="K240" i="40"/>
  <c r="L240" i="40" s="1"/>
  <c r="N248" i="40"/>
  <c r="O248" i="40" s="1"/>
  <c r="P248" i="40" s="1"/>
  <c r="Q248" i="40" s="1"/>
  <c r="AH262" i="40"/>
  <c r="AI262" i="40" s="1"/>
  <c r="AJ262" i="40" s="1"/>
  <c r="AK262" i="40" s="1"/>
  <c r="AC250" i="40"/>
  <c r="AD250" i="40" s="1"/>
  <c r="AE250" i="40" s="1"/>
  <c r="AF250" i="40" s="1"/>
  <c r="AG248" i="40"/>
  <c r="AC248" i="40" s="1"/>
  <c r="AD248" i="40" s="1"/>
  <c r="AE248" i="40" s="1"/>
  <c r="AF248" i="40" s="1"/>
  <c r="X242" i="40"/>
  <c r="Y242" i="40" s="1"/>
  <c r="Z242" i="40" s="1"/>
  <c r="AA242" i="40" s="1"/>
  <c r="AH254" i="40"/>
  <c r="AI254" i="40" s="1"/>
  <c r="AJ254" i="40" s="1"/>
  <c r="AK254" i="40" s="1"/>
  <c r="N240" i="40"/>
  <c r="O240" i="40" s="1"/>
  <c r="P240" i="40" s="1"/>
  <c r="Q240" i="40" s="1"/>
  <c r="X248" i="40"/>
  <c r="Y248" i="40" s="1"/>
  <c r="Z248" i="40" s="1"/>
  <c r="AA248" i="40" s="1"/>
  <c r="AH250" i="40"/>
  <c r="AI250" i="40" s="1"/>
  <c r="AJ250" i="40" s="1"/>
  <c r="AK250" i="40" s="1"/>
  <c r="K254" i="40"/>
  <c r="L254" i="40" s="1"/>
  <c r="AC242" i="40"/>
  <c r="AD242" i="40" s="1"/>
  <c r="AE242" i="40" s="1"/>
  <c r="AF242" i="40" s="1"/>
  <c r="AH242" i="40"/>
  <c r="AI242" i="40" s="1"/>
  <c r="AJ242" i="40" s="1"/>
  <c r="AK242" i="40" s="1"/>
  <c r="N260" i="40"/>
  <c r="O260" i="40" s="1"/>
  <c r="P260" i="40" s="1"/>
  <c r="Q260" i="40" s="1"/>
  <c r="S260" i="40"/>
  <c r="T260" i="40" s="1"/>
  <c r="U260" i="40" s="1"/>
  <c r="V260" i="40" s="1"/>
  <c r="AG252" i="40"/>
  <c r="AC252" i="40" s="1"/>
  <c r="AD252" i="40" s="1"/>
  <c r="AE252" i="40" s="1"/>
  <c r="AF252" i="40" s="1"/>
  <c r="O46" i="43"/>
  <c r="K250" i="40"/>
  <c r="L250" i="40" s="1"/>
  <c r="S262" i="40"/>
  <c r="T262" i="40" s="1"/>
  <c r="U262" i="40" s="1"/>
  <c r="V262" i="40" s="1"/>
  <c r="AC240" i="40"/>
  <c r="AD240" i="40" s="1"/>
  <c r="AE240" i="40" s="1"/>
  <c r="AF240" i="40" s="1"/>
  <c r="P44" i="43"/>
  <c r="AL248" i="40"/>
  <c r="X244" i="40"/>
  <c r="Y244" i="40" s="1"/>
  <c r="Z244" i="40" s="1"/>
  <c r="AA244" i="40" s="1"/>
  <c r="N252" i="40"/>
  <c r="O252" i="40" s="1"/>
  <c r="P252" i="40" s="1"/>
  <c r="Q252" i="40" s="1"/>
  <c r="S244" i="40"/>
  <c r="T244" i="40" s="1"/>
  <c r="U244" i="40" s="1"/>
  <c r="V244" i="40" s="1"/>
  <c r="X250" i="40"/>
  <c r="Y250" i="40" s="1"/>
  <c r="Z250" i="40" s="1"/>
  <c r="AA250" i="40" s="1"/>
  <c r="K246" i="40"/>
  <c r="L246" i="40" s="1"/>
  <c r="N246" i="40"/>
  <c r="O246" i="40" s="1"/>
  <c r="P246" i="40" s="1"/>
  <c r="Q246" i="40" s="1"/>
  <c r="AM246" i="40"/>
  <c r="AH246" i="40" s="1"/>
  <c r="AI246" i="40" s="1"/>
  <c r="AJ246" i="40" s="1"/>
  <c r="AK246" i="40" s="1"/>
  <c r="S242" i="40"/>
  <c r="T242" i="40" s="1"/>
  <c r="U242" i="40" s="1"/>
  <c r="V242" i="40" s="1"/>
  <c r="S240" i="40"/>
  <c r="T240" i="40" s="1"/>
  <c r="U240" i="40" s="1"/>
  <c r="V240" i="40" s="1"/>
  <c r="X240" i="40"/>
  <c r="Y240" i="40" s="1"/>
  <c r="Z240" i="40" s="1"/>
  <c r="AA240" i="40" s="1"/>
  <c r="Q48" i="43"/>
  <c r="AN260" i="40" s="1"/>
  <c r="AM260" i="40"/>
  <c r="AM240" i="40"/>
  <c r="AH240" i="40" s="1"/>
  <c r="AI240" i="40" s="1"/>
  <c r="AJ240" i="40" s="1"/>
  <c r="AK240" i="40" s="1"/>
  <c r="Q40" i="43"/>
  <c r="AN240" i="40" s="1"/>
  <c r="K262" i="40"/>
  <c r="L262" i="40" s="1"/>
  <c r="O59" i="40"/>
  <c r="R40" i="42"/>
  <c r="O68" i="40" s="1"/>
  <c r="R17" i="42"/>
  <c r="S17" i="42" s="1"/>
  <c r="T17" i="42"/>
  <c r="K18" i="42"/>
  <c r="O79" i="40"/>
  <c r="R58" i="42"/>
  <c r="O86" i="40" s="1"/>
  <c r="U16" i="42"/>
  <c r="J118" i="40" s="1"/>
  <c r="V16" i="42"/>
  <c r="S123" i="40" s="1"/>
  <c r="J55" i="37"/>
  <c r="G158" i="13"/>
  <c r="F158" i="13"/>
  <c r="D158" i="13"/>
  <c r="J54" i="37"/>
  <c r="J27" i="37"/>
  <c r="J56" i="37"/>
  <c r="J36" i="37"/>
  <c r="J51" i="37"/>
  <c r="J57" i="37"/>
  <c r="J50" i="37"/>
  <c r="J24" i="37"/>
  <c r="J49" i="37"/>
  <c r="J41" i="37"/>
  <c r="J35" i="37"/>
  <c r="J23" i="37"/>
  <c r="J38" i="37"/>
  <c r="J34" i="37"/>
  <c r="J37" i="37"/>
  <c r="AH260" i="40" l="1"/>
  <c r="AI260" i="40" s="1"/>
  <c r="AJ260" i="40" s="1"/>
  <c r="AK260" i="40" s="1"/>
  <c r="P42" i="43"/>
  <c r="AL244" i="40"/>
  <c r="P46" i="43"/>
  <c r="AL252" i="40"/>
  <c r="AM248" i="40"/>
  <c r="AH248" i="40" s="1"/>
  <c r="AI248" i="40" s="1"/>
  <c r="AJ248" i="40" s="1"/>
  <c r="AK248" i="40" s="1"/>
  <c r="Q44" i="43"/>
  <c r="AN248" i="40" s="1"/>
  <c r="U17" i="42"/>
  <c r="J120" i="40" s="1"/>
  <c r="V17" i="42"/>
  <c r="S125" i="40" s="1"/>
  <c r="N19" i="42"/>
  <c r="J24" i="40"/>
  <c r="J115" i="40"/>
  <c r="S18" i="42"/>
  <c r="C74" i="37" a="1"/>
  <c r="C74" i="37" s="1"/>
  <c r="C119" i="13" s="1"/>
  <c r="H149" i="13" s="1"/>
  <c r="C73" i="37" a="1"/>
  <c r="C73" i="37" s="1"/>
  <c r="C72" i="37" a="1"/>
  <c r="C72" i="37" s="1"/>
  <c r="C122" i="13" s="1"/>
  <c r="K149" i="13" s="1"/>
  <c r="Q42" i="43" l="1"/>
  <c r="AN244" i="40" s="1"/>
  <c r="AM244" i="40"/>
  <c r="AH244" i="40" s="1"/>
  <c r="AI244" i="40" s="1"/>
  <c r="AJ244" i="40" s="1"/>
  <c r="AK244" i="40" s="1"/>
  <c r="Q46" i="43"/>
  <c r="AN252" i="40" s="1"/>
  <c r="AM252" i="40"/>
  <c r="AH252" i="40" s="1"/>
  <c r="AI252" i="40" s="1"/>
  <c r="AJ252" i="40" s="1"/>
  <c r="AK252" i="40" s="1"/>
  <c r="C75" i="37"/>
  <c r="C120" i="13" s="1"/>
  <c r="I149" i="13" s="1"/>
  <c r="C121" i="13"/>
  <c r="J149" i="13" s="1"/>
  <c r="G58" i="23"/>
  <c r="H96" i="23" l="1"/>
  <c r="Q85" i="1"/>
  <c r="D137" i="35"/>
  <c r="D135" i="35"/>
  <c r="J140" i="35"/>
  <c r="D123" i="35"/>
  <c r="D125" i="35"/>
  <c r="D129" i="35"/>
  <c r="D127" i="35"/>
  <c r="I63" i="35"/>
  <c r="H63" i="35"/>
  <c r="G63" i="35"/>
  <c r="F63" i="35"/>
  <c r="E63" i="35"/>
  <c r="D63" i="35"/>
  <c r="I62" i="35"/>
  <c r="H62" i="35"/>
  <c r="G62" i="35"/>
  <c r="F62" i="35"/>
  <c r="E62" i="35"/>
  <c r="D62" i="35"/>
  <c r="I61" i="35"/>
  <c r="H61" i="35"/>
  <c r="G61" i="35"/>
  <c r="F61" i="35"/>
  <c r="E61" i="35"/>
  <c r="D61" i="35"/>
  <c r="I66" i="35"/>
  <c r="H66" i="35"/>
  <c r="G66" i="35"/>
  <c r="F66" i="35"/>
  <c r="E66" i="35"/>
  <c r="D66" i="35"/>
  <c r="I60" i="35"/>
  <c r="H60" i="35"/>
  <c r="G60" i="35"/>
  <c r="F60" i="35"/>
  <c r="E60" i="35"/>
  <c r="D60" i="35"/>
  <c r="AA106" i="35"/>
  <c r="AA105" i="35"/>
  <c r="AM136" i="35"/>
  <c r="AC137" i="35"/>
  <c r="AP138" i="35"/>
  <c r="AO140" i="35"/>
  <c r="AG136" i="35" s="1"/>
  <c r="AG139" i="35" s="1"/>
  <c r="AE182" i="35"/>
  <c r="AF182" i="35"/>
  <c r="AD183" i="35"/>
  <c r="AE183" i="35"/>
  <c r="AD184" i="35"/>
  <c r="AE184" i="35" s="1"/>
  <c r="AD185" i="35"/>
  <c r="AE185" i="35" s="1"/>
  <c r="AD186" i="35"/>
  <c r="AE186" i="35" s="1"/>
  <c r="AG212" i="35"/>
  <c r="AG213" i="35"/>
  <c r="AE214" i="35"/>
  <c r="AG214" i="35"/>
  <c r="AG215" i="35"/>
  <c r="AE216" i="35"/>
  <c r="Z225" i="35"/>
  <c r="Z230" i="35"/>
  <c r="Z232" i="35" s="1"/>
  <c r="AH61" i="35"/>
  <c r="AG61" i="35"/>
  <c r="AF61" i="35"/>
  <c r="AH64" i="35"/>
  <c r="AG64" i="35"/>
  <c r="AF64" i="35"/>
  <c r="AH67" i="35"/>
  <c r="G71" i="34" s="1"/>
  <c r="AG67" i="35"/>
  <c r="F71" i="34" s="1"/>
  <c r="AF67" i="35"/>
  <c r="C71" i="34" s="1"/>
  <c r="AE67" i="35"/>
  <c r="G46" i="34" s="1"/>
  <c r="G47" i="34" s="1"/>
  <c r="AD67" i="35"/>
  <c r="F46" i="34" s="1"/>
  <c r="AC67" i="35"/>
  <c r="C46" i="34" s="1"/>
  <c r="AE61" i="35"/>
  <c r="AD61" i="35"/>
  <c r="AC61" i="35"/>
  <c r="AE64" i="35"/>
  <c r="AD64" i="35"/>
  <c r="AC64" i="35"/>
  <c r="E2" i="35"/>
  <c r="C129" i="34"/>
  <c r="C130" i="34" s="1"/>
  <c r="C121" i="34"/>
  <c r="C122" i="34" s="1"/>
  <c r="P117" i="34" s="1"/>
  <c r="C115" i="34"/>
  <c r="C116" i="34" s="1"/>
  <c r="C117" i="34" s="1"/>
  <c r="C118" i="34" s="1"/>
  <c r="P116" i="34" s="1"/>
  <c r="C107" i="34"/>
  <c r="C111" i="34" s="1"/>
  <c r="C106" i="34"/>
  <c r="C109" i="34" s="1"/>
  <c r="U104" i="34"/>
  <c r="G98" i="34"/>
  <c r="T50" i="34" s="1"/>
  <c r="F98" i="34"/>
  <c r="S50" i="34" s="1"/>
  <c r="E98" i="34"/>
  <c r="R50" i="34" s="1"/>
  <c r="G89" i="34"/>
  <c r="G90" i="34" s="1"/>
  <c r="G91" i="34" s="1"/>
  <c r="G94" i="34" s="1"/>
  <c r="F89" i="34"/>
  <c r="F90" i="34" s="1"/>
  <c r="F91" i="34" s="1"/>
  <c r="F94" i="34" s="1"/>
  <c r="C89" i="34"/>
  <c r="C90" i="34" s="1"/>
  <c r="C91" i="34" s="1"/>
  <c r="E91" i="34" s="1"/>
  <c r="E94" i="34" s="1"/>
  <c r="G82" i="34"/>
  <c r="T53" i="34" s="1"/>
  <c r="F82" i="34"/>
  <c r="F83" i="34" s="1"/>
  <c r="C82" i="34"/>
  <c r="R53" i="34" s="1"/>
  <c r="C78" i="34"/>
  <c r="C86" i="34" s="1"/>
  <c r="G72" i="34"/>
  <c r="T51" i="34" s="1"/>
  <c r="F72" i="34"/>
  <c r="S51" i="34" s="1"/>
  <c r="E72" i="34"/>
  <c r="R51" i="34" s="1"/>
  <c r="G69" i="34"/>
  <c r="G70" i="34" s="1"/>
  <c r="T47" i="34" s="1"/>
  <c r="F69" i="34"/>
  <c r="F70" i="34" s="1"/>
  <c r="S47" i="34" s="1"/>
  <c r="C69" i="34"/>
  <c r="C70" i="34" s="1"/>
  <c r="E70" i="34" s="1"/>
  <c r="R47" i="34" s="1"/>
  <c r="G63" i="34"/>
  <c r="G64" i="34" s="1"/>
  <c r="G65" i="34" s="1"/>
  <c r="F63" i="34"/>
  <c r="F64" i="34" s="1"/>
  <c r="F65" i="34" s="1"/>
  <c r="C63" i="34"/>
  <c r="C64" i="34" s="1"/>
  <c r="C65" i="34" s="1"/>
  <c r="E65" i="34" s="1"/>
  <c r="G56" i="34"/>
  <c r="G57" i="34" s="1"/>
  <c r="F56" i="34"/>
  <c r="F57" i="34" s="1"/>
  <c r="C56" i="34"/>
  <c r="C57" i="34" s="1"/>
  <c r="C52" i="34"/>
  <c r="C60" i="34" s="1"/>
  <c r="V49" i="34"/>
  <c r="T49" i="34"/>
  <c r="S49" i="34"/>
  <c r="R49" i="34"/>
  <c r="G41" i="34"/>
  <c r="G42" i="34" s="1"/>
  <c r="G43" i="34" s="1"/>
  <c r="F41" i="34"/>
  <c r="F42" i="34" s="1"/>
  <c r="F43" i="34" s="1"/>
  <c r="C41" i="34"/>
  <c r="C42" i="34" s="1"/>
  <c r="C43" i="34" s="1"/>
  <c r="C40" i="34"/>
  <c r="C62" i="34" s="1"/>
  <c r="R52" i="34" s="1"/>
  <c r="G34" i="34"/>
  <c r="G35" i="34" s="1"/>
  <c r="F34" i="34"/>
  <c r="F35" i="34" s="1"/>
  <c r="C34" i="34"/>
  <c r="C35" i="34" s="1"/>
  <c r="C30" i="34"/>
  <c r="C38" i="34" s="1"/>
  <c r="C19" i="34"/>
  <c r="C20" i="34" s="1"/>
  <c r="C21" i="34" s="1"/>
  <c r="C22" i="34" s="1"/>
  <c r="C11" i="34"/>
  <c r="J3" i="34"/>
  <c r="J2" i="34"/>
  <c r="J1" i="34"/>
  <c r="I12" i="32"/>
  <c r="R7" i="31"/>
  <c r="AB7" i="31"/>
  <c r="AN7" i="31"/>
  <c r="R30" i="31"/>
  <c r="AB30" i="31"/>
  <c r="AN30" i="31"/>
  <c r="R38" i="31"/>
  <c r="AB38" i="31"/>
  <c r="AN38" i="31"/>
  <c r="R49" i="31"/>
  <c r="AB49" i="31"/>
  <c r="AN49" i="31"/>
  <c r="R8" i="29"/>
  <c r="S8" i="29"/>
  <c r="J9" i="29"/>
  <c r="Q6" i="29" s="1"/>
  <c r="Q9" i="29" s="1"/>
  <c r="K9" i="29"/>
  <c r="R6" i="29" s="1"/>
  <c r="R9" i="29" s="1"/>
  <c r="L9" i="29"/>
  <c r="S6" i="29" s="1"/>
  <c r="S9" i="29" s="1"/>
  <c r="J16" i="29"/>
  <c r="Q7" i="29" s="1"/>
  <c r="K16" i="29"/>
  <c r="R7" i="29" s="1"/>
  <c r="L16" i="29"/>
  <c r="S7" i="29" s="1"/>
  <c r="J22" i="29"/>
  <c r="Q8" i="29" s="1"/>
  <c r="K22" i="29"/>
  <c r="L22" i="29"/>
  <c r="P119" i="34" l="1"/>
  <c r="O103" i="34"/>
  <c r="C73" i="34"/>
  <c r="D139" i="35"/>
  <c r="F73" i="34"/>
  <c r="C47" i="34"/>
  <c r="G73" i="34"/>
  <c r="F47" i="34"/>
  <c r="H97" i="23"/>
  <c r="AJ213" i="35"/>
  <c r="C79" i="34"/>
  <c r="H79" i="34" s="1"/>
  <c r="I79" i="34" s="1"/>
  <c r="C80" i="34" s="1"/>
  <c r="C85" i="34" s="1"/>
  <c r="AG137" i="35"/>
  <c r="C31" i="34"/>
  <c r="C36" i="34" s="1"/>
  <c r="F36" i="34" s="1"/>
  <c r="T54" i="34"/>
  <c r="C97" i="34"/>
  <c r="C99" i="34" s="1"/>
  <c r="E99" i="34" s="1"/>
  <c r="S53" i="34"/>
  <c r="R46" i="34"/>
  <c r="E68" i="34"/>
  <c r="T46" i="34"/>
  <c r="G68" i="34"/>
  <c r="S46" i="34"/>
  <c r="F68" i="34"/>
  <c r="R54" i="34"/>
  <c r="S54" i="34"/>
  <c r="C53" i="34"/>
  <c r="C83" i="34"/>
  <c r="F97" i="34"/>
  <c r="F99" i="34" s="1"/>
  <c r="G97" i="34"/>
  <c r="G99" i="34" s="1"/>
  <c r="C105" i="34"/>
  <c r="G83" i="34"/>
  <c r="C23" i="28"/>
  <c r="C24" i="28" s="1"/>
  <c r="P23" i="9"/>
  <c r="P22" i="9"/>
  <c r="O13" i="9"/>
  <c r="AN145" i="35" l="1"/>
  <c r="AN146" i="35" s="1"/>
  <c r="D140" i="35"/>
  <c r="C84" i="34"/>
  <c r="G84" i="34" s="1"/>
  <c r="G85" i="34" s="1"/>
  <c r="D124" i="35"/>
  <c r="D136" i="35" s="1"/>
  <c r="C23" i="34"/>
  <c r="C24" i="34" s="1"/>
  <c r="G36" i="34"/>
  <c r="H31" i="34"/>
  <c r="I31" i="34" s="1"/>
  <c r="C32" i="34" s="1"/>
  <c r="C37" i="34" s="1"/>
  <c r="C58" i="34"/>
  <c r="H53" i="34"/>
  <c r="I53" i="34" s="1"/>
  <c r="C54" i="34" s="1"/>
  <c r="C59" i="34" s="1"/>
  <c r="P120" i="34"/>
  <c r="C110" i="34"/>
  <c r="I138" i="28" a="1"/>
  <c r="I138" i="28" s="1"/>
  <c r="C129" i="28"/>
  <c r="C130" i="28" s="1"/>
  <c r="C121" i="28"/>
  <c r="C122" i="28" s="1"/>
  <c r="P117" i="28" s="1"/>
  <c r="C115" i="28"/>
  <c r="C116" i="28" s="1"/>
  <c r="C117" i="28" s="1"/>
  <c r="C118" i="28" s="1"/>
  <c r="P116" i="28" s="1"/>
  <c r="C107" i="28"/>
  <c r="C111" i="28" s="1"/>
  <c r="C106" i="28"/>
  <c r="C109" i="28" s="1"/>
  <c r="U104" i="28"/>
  <c r="G98" i="28"/>
  <c r="T50" i="28" s="1"/>
  <c r="F98" i="28"/>
  <c r="S50" i="28" s="1"/>
  <c r="E98" i="28"/>
  <c r="R50" i="28" s="1"/>
  <c r="G89" i="28"/>
  <c r="G90" i="28" s="1"/>
  <c r="G91" i="28" s="1"/>
  <c r="G94" i="28" s="1"/>
  <c r="F89" i="28"/>
  <c r="C89" i="28"/>
  <c r="G82" i="28"/>
  <c r="T53" i="28" s="1"/>
  <c r="F82" i="28"/>
  <c r="S53" i="28" s="1"/>
  <c r="C82" i="28"/>
  <c r="R53" i="28" s="1"/>
  <c r="C78" i="28"/>
  <c r="C79" i="28" s="1"/>
  <c r="C84" i="28" s="1"/>
  <c r="G72" i="28"/>
  <c r="T51" i="28" s="1"/>
  <c r="F72" i="28"/>
  <c r="S51" i="28" s="1"/>
  <c r="E72" i="28"/>
  <c r="R51" i="28" s="1"/>
  <c r="G71" i="28"/>
  <c r="G97" i="28" s="1"/>
  <c r="F71" i="28"/>
  <c r="C71" i="28"/>
  <c r="C97" i="28" s="1"/>
  <c r="G69" i="28"/>
  <c r="G70" i="28" s="1"/>
  <c r="T47" i="28" s="1"/>
  <c r="F69" i="28"/>
  <c r="F70" i="28" s="1"/>
  <c r="S47" i="28" s="1"/>
  <c r="C69" i="28"/>
  <c r="C70" i="28" s="1"/>
  <c r="E70" i="28" s="1"/>
  <c r="R47" i="28" s="1"/>
  <c r="G63" i="28"/>
  <c r="G64" i="28" s="1"/>
  <c r="G65" i="28" s="1"/>
  <c r="F63" i="28"/>
  <c r="F64" i="28" s="1"/>
  <c r="F65" i="28" s="1"/>
  <c r="G56" i="28"/>
  <c r="G57" i="28" s="1"/>
  <c r="F56" i="28"/>
  <c r="S54" i="28" s="1"/>
  <c r="C56" i="28"/>
  <c r="C57" i="28" s="1"/>
  <c r="C52" i="28"/>
  <c r="C53" i="28" s="1"/>
  <c r="V49" i="28"/>
  <c r="T49" i="28"/>
  <c r="S49" i="28"/>
  <c r="R49" i="28"/>
  <c r="G46" i="28"/>
  <c r="F46" i="28"/>
  <c r="C46" i="28"/>
  <c r="G41" i="28"/>
  <c r="F41" i="28"/>
  <c r="F42" i="28" s="1"/>
  <c r="F43" i="28" s="1"/>
  <c r="C41" i="28"/>
  <c r="C40" i="28"/>
  <c r="C62" i="28" s="1"/>
  <c r="G34" i="28"/>
  <c r="G35" i="28" s="1"/>
  <c r="F34" i="28"/>
  <c r="F35" i="28" s="1"/>
  <c r="C34" i="28"/>
  <c r="C35" i="28" s="1"/>
  <c r="C30" i="28"/>
  <c r="C38" i="28" s="1"/>
  <c r="C19" i="28"/>
  <c r="C20" i="28" s="1"/>
  <c r="C21" i="28" s="1"/>
  <c r="C11" i="28"/>
  <c r="J3" i="28"/>
  <c r="J2" i="28"/>
  <c r="J1" i="28"/>
  <c r="C9" i="28" s="1"/>
  <c r="C13" i="28" s="1"/>
  <c r="C108" i="34"/>
  <c r="O104" i="34" s="1"/>
  <c r="C63" i="28"/>
  <c r="C64" i="28" s="1"/>
  <c r="C65" i="28" s="1"/>
  <c r="E65" i="28" s="1"/>
  <c r="F84" i="34" l="1"/>
  <c r="F85" i="34" s="1"/>
  <c r="C47" i="28"/>
  <c r="G47" i="28"/>
  <c r="C86" i="28"/>
  <c r="C99" i="28"/>
  <c r="E99" i="28" s="1"/>
  <c r="O104" i="28"/>
  <c r="C9" i="34"/>
  <c r="F141" i="28"/>
  <c r="D2" i="35"/>
  <c r="D128" i="35" s="1"/>
  <c r="U103" i="34"/>
  <c r="U106" i="34" s="1"/>
  <c r="U107" i="34" s="1"/>
  <c r="F83" i="28"/>
  <c r="G83" i="28"/>
  <c r="T54" i="28"/>
  <c r="G37" i="34"/>
  <c r="F37" i="34"/>
  <c r="G58" i="34"/>
  <c r="G59" i="34" s="1"/>
  <c r="F58" i="34"/>
  <c r="F59" i="34" s="1"/>
  <c r="P119" i="28"/>
  <c r="O103" i="28"/>
  <c r="C105" i="28"/>
  <c r="C22" i="28"/>
  <c r="F57" i="28"/>
  <c r="C31" i="28"/>
  <c r="H31" i="28" s="1"/>
  <c r="I31" i="28" s="1"/>
  <c r="C32" i="28" s="1"/>
  <c r="U103" i="28" s="1"/>
  <c r="U106" i="28" s="1"/>
  <c r="U107" i="28" s="1"/>
  <c r="R54" i="28"/>
  <c r="C58" i="28"/>
  <c r="H53" i="28"/>
  <c r="I53" i="28" s="1"/>
  <c r="C54" i="28" s="1"/>
  <c r="C59" i="28" s="1"/>
  <c r="C73" i="28"/>
  <c r="R52" i="28"/>
  <c r="G99" i="28"/>
  <c r="F73" i="28"/>
  <c r="C15" i="28"/>
  <c r="G73" i="28"/>
  <c r="S46" i="28"/>
  <c r="F68" i="28"/>
  <c r="R46" i="28"/>
  <c r="E68" i="28"/>
  <c r="T46" i="28"/>
  <c r="G68" i="28"/>
  <c r="G84" i="28"/>
  <c r="F84" i="28"/>
  <c r="F47" i="28"/>
  <c r="H79" i="28"/>
  <c r="I79" i="28" s="1"/>
  <c r="C80" i="28" s="1"/>
  <c r="C85" i="28" s="1"/>
  <c r="G42" i="28"/>
  <c r="G43" i="28" s="1"/>
  <c r="C60" i="28"/>
  <c r="C14" i="28"/>
  <c r="C83" i="28"/>
  <c r="F97" i="28"/>
  <c r="F99" i="28" s="1"/>
  <c r="F90" i="28"/>
  <c r="F91" i="28" s="1"/>
  <c r="F94" i="28" s="1"/>
  <c r="C90" i="28"/>
  <c r="C91" i="28" s="1"/>
  <c r="E91" i="28" s="1"/>
  <c r="E94" i="28" s="1"/>
  <c r="C42" i="28"/>
  <c r="C43" i="28" s="1"/>
  <c r="AA107" i="35" l="1"/>
  <c r="AA109" i="35" s="1"/>
  <c r="C106" i="35" s="1"/>
  <c r="C109" i="35" s="1"/>
  <c r="C108" i="35"/>
  <c r="C13" i="34"/>
  <c r="C14" i="34" s="1"/>
  <c r="P120" i="28"/>
  <c r="C110" i="28"/>
  <c r="C37" i="28"/>
  <c r="C36" i="28"/>
  <c r="G36" i="28" s="1"/>
  <c r="F58" i="28"/>
  <c r="F59" i="28" s="1"/>
  <c r="G58" i="28"/>
  <c r="G59" i="28" s="1"/>
  <c r="G85" i="28"/>
  <c r="F85" i="28"/>
  <c r="AB109" i="35" l="1"/>
  <c r="D106" i="35" s="1"/>
  <c r="D109" i="35" s="1"/>
  <c r="E138" i="28"/>
  <c r="E144" i="28" s="1"/>
  <c r="C15" i="34"/>
  <c r="G37" i="28"/>
  <c r="F36" i="28"/>
  <c r="F37" i="28" s="1"/>
  <c r="F138" i="28" l="1"/>
  <c r="F144" i="28" s="1"/>
  <c r="AF107" i="35"/>
  <c r="E106" i="35"/>
  <c r="E109" i="35" s="1"/>
  <c r="G138" i="28" l="1"/>
  <c r="G144" i="28" s="1"/>
  <c r="Q13" i="2" l="1"/>
  <c r="R13" i="2" s="1"/>
  <c r="S13" i="2" s="1"/>
  <c r="T13" i="2" s="1"/>
  <c r="U13" i="2" s="1"/>
  <c r="C16" i="13" l="1"/>
  <c r="V15" i="13"/>
  <c r="W15" i="13"/>
  <c r="X15" i="13"/>
  <c r="Y15" i="13"/>
  <c r="Z15" i="13"/>
  <c r="AA15" i="13"/>
  <c r="AB15" i="13"/>
  <c r="AC15" i="13"/>
  <c r="AD15" i="13"/>
  <c r="AE15" i="13"/>
  <c r="AF15" i="13"/>
  <c r="AG15" i="13"/>
  <c r="AH15" i="13"/>
  <c r="AI15" i="13"/>
  <c r="AJ15" i="13"/>
  <c r="AK15" i="13"/>
  <c r="AL15" i="13"/>
  <c r="AM15" i="13"/>
  <c r="AN15" i="13"/>
  <c r="AO15" i="13"/>
  <c r="AP15" i="13"/>
  <c r="AQ15" i="13"/>
  <c r="AR15" i="13"/>
  <c r="AS15" i="13"/>
  <c r="AT15" i="13"/>
  <c r="AU15" i="13"/>
  <c r="AV15" i="13"/>
  <c r="AW15" i="13"/>
  <c r="AX15" i="13"/>
  <c r="AY15" i="13"/>
  <c r="AZ15" i="13"/>
  <c r="C129" i="13"/>
  <c r="C133" i="13" s="1"/>
  <c r="C12" i="13" s="1"/>
  <c r="C123" i="23"/>
  <c r="H53" i="23"/>
  <c r="C113" i="13" l="1"/>
  <c r="D150" i="13"/>
  <c r="H150" i="13" s="1"/>
  <c r="X16" i="13"/>
  <c r="Z12" i="13"/>
  <c r="AD12" i="13"/>
  <c r="AJ12" i="13"/>
  <c r="C14" i="13"/>
  <c r="AO14" i="13" s="1"/>
  <c r="AK12" i="13"/>
  <c r="AP12" i="13"/>
  <c r="AV12" i="13"/>
  <c r="AW12" i="13"/>
  <c r="C13" i="13"/>
  <c r="AF13" i="13" s="1"/>
  <c r="AT16" i="13"/>
  <c r="AH16" i="13"/>
  <c r="AR16" i="13"/>
  <c r="AF16" i="13"/>
  <c r="AE16" i="13"/>
  <c r="AP16" i="13"/>
  <c r="AD16" i="13"/>
  <c r="AC16" i="13"/>
  <c r="AZ16" i="13"/>
  <c r="AN16" i="13"/>
  <c r="AB16" i="13"/>
  <c r="AQ16" i="13"/>
  <c r="AY16" i="13"/>
  <c r="AM16" i="13"/>
  <c r="AA16" i="13"/>
  <c r="AI16" i="13"/>
  <c r="AS16" i="13"/>
  <c r="AO16" i="13"/>
  <c r="AX16" i="13"/>
  <c r="AL16" i="13"/>
  <c r="Z16" i="13"/>
  <c r="AU16" i="13"/>
  <c r="AG16" i="13"/>
  <c r="AW16" i="13"/>
  <c r="AK16" i="13"/>
  <c r="Y16" i="13"/>
  <c r="AV16" i="13"/>
  <c r="AJ16" i="13"/>
  <c r="AT12" i="13"/>
  <c r="AH12" i="13"/>
  <c r="AM14" i="13"/>
  <c r="AA14" i="13"/>
  <c r="AI12" i="13"/>
  <c r="AS12" i="13"/>
  <c r="AG12" i="13"/>
  <c r="AR12" i="13"/>
  <c r="AF12" i="13"/>
  <c r="AU12" i="13"/>
  <c r="AQ12" i="13"/>
  <c r="AE12" i="13"/>
  <c r="AT14" i="13"/>
  <c r="AO12" i="13"/>
  <c r="AZ12" i="13"/>
  <c r="AN12" i="13"/>
  <c r="AY12" i="13"/>
  <c r="AM12" i="13"/>
  <c r="AA12" i="13"/>
  <c r="AC12" i="13"/>
  <c r="AB12" i="13"/>
  <c r="AX12" i="13"/>
  <c r="AL12" i="13"/>
  <c r="AS14" i="13" l="1"/>
  <c r="AB14" i="13"/>
  <c r="AD14" i="13"/>
  <c r="AF14" i="13"/>
  <c r="AG14" i="13"/>
  <c r="AC14" i="13"/>
  <c r="AH14" i="13"/>
  <c r="AL14" i="13"/>
  <c r="Z14" i="13"/>
  <c r="AY14" i="13"/>
  <c r="AQ14" i="13"/>
  <c r="AJ14" i="13"/>
  <c r="AX14" i="13"/>
  <c r="AR14" i="13"/>
  <c r="AV14" i="13"/>
  <c r="AP14" i="13"/>
  <c r="AD13" i="13"/>
  <c r="AK14" i="13"/>
  <c r="AN14" i="13"/>
  <c r="AI14" i="13"/>
  <c r="AW14" i="13"/>
  <c r="AO13" i="13"/>
  <c r="AE14" i="13"/>
  <c r="AU14" i="13"/>
  <c r="AI13" i="13"/>
  <c r="AC13" i="13"/>
  <c r="AK13" i="13"/>
  <c r="AU13" i="13"/>
  <c r="AN13" i="13"/>
  <c r="AE13" i="13"/>
  <c r="AW13" i="13"/>
  <c r="AA13" i="13"/>
  <c r="AZ13" i="13"/>
  <c r="AQ13" i="13"/>
  <c r="AR13" i="13"/>
  <c r="AS13" i="13"/>
  <c r="AG13" i="13"/>
  <c r="AP13" i="13"/>
  <c r="AB13" i="13"/>
  <c r="AM13" i="13"/>
  <c r="Z13" i="13"/>
  <c r="AY13" i="13"/>
  <c r="AL13" i="13"/>
  <c r="AJ13" i="13"/>
  <c r="AX13" i="13"/>
  <c r="AV13" i="13"/>
  <c r="AH13" i="13"/>
  <c r="AZ14" i="13"/>
  <c r="AT13" i="13"/>
  <c r="C122" i="23" l="1"/>
  <c r="H113" i="23"/>
  <c r="F112" i="23"/>
  <c r="G95" i="23"/>
  <c r="G94" i="23"/>
  <c r="G93" i="23"/>
  <c r="G73" i="23"/>
  <c r="G72" i="23"/>
  <c r="G71" i="23"/>
  <c r="F68" i="23"/>
  <c r="F64" i="23"/>
  <c r="G51" i="23"/>
  <c r="G50" i="23"/>
  <c r="G49" i="23"/>
  <c r="I27" i="23"/>
  <c r="I26" i="23"/>
  <c r="I25" i="23"/>
  <c r="I24" i="23"/>
  <c r="I23" i="23"/>
  <c r="I22" i="23"/>
  <c r="I21" i="23"/>
  <c r="G37" i="23" s="1"/>
  <c r="H37" i="23" s="1"/>
  <c r="I20" i="23"/>
  <c r="I19" i="23"/>
  <c r="I18" i="23"/>
  <c r="G109" i="23" s="1"/>
  <c r="H109" i="23" s="1"/>
  <c r="I17" i="23"/>
  <c r="I16" i="23"/>
  <c r="I15" i="23"/>
  <c r="G111" i="23" s="1"/>
  <c r="H111" i="23" s="1"/>
  <c r="I14" i="23"/>
  <c r="G108" i="23" s="1"/>
  <c r="H108" i="23" s="1"/>
  <c r="I13" i="23"/>
  <c r="I12" i="23"/>
  <c r="I11" i="23"/>
  <c r="I10" i="23"/>
  <c r="G92" i="23" l="1"/>
  <c r="H92" i="23" s="1"/>
  <c r="G114" i="23"/>
  <c r="H114" i="23" s="1"/>
  <c r="G59" i="23"/>
  <c r="H59" i="23" s="1"/>
  <c r="G105" i="23"/>
  <c r="H105" i="23" s="1"/>
  <c r="G61" i="23"/>
  <c r="H61" i="23" s="1"/>
  <c r="G83" i="23"/>
  <c r="H83" i="23" s="1"/>
  <c r="G39" i="23"/>
  <c r="H39" i="23" s="1"/>
  <c r="G41" i="23"/>
  <c r="H41" i="23" s="1"/>
  <c r="G107" i="23"/>
  <c r="H107" i="23" s="1"/>
  <c r="G63" i="23"/>
  <c r="H63" i="23" s="1"/>
  <c r="G85" i="23"/>
  <c r="H85" i="23" s="1"/>
  <c r="G84" i="23"/>
  <c r="H84" i="23" s="1"/>
  <c r="G106" i="23"/>
  <c r="H106" i="23" s="1"/>
  <c r="G62" i="23"/>
  <c r="H62" i="23" s="1"/>
  <c r="G40" i="23"/>
  <c r="H40" i="23" s="1"/>
  <c r="G90" i="23"/>
  <c r="H90" i="23" s="1"/>
  <c r="G46" i="23"/>
  <c r="H46" i="23" s="1"/>
  <c r="G68" i="23"/>
  <c r="H68" i="23" s="1"/>
  <c r="G112" i="23"/>
  <c r="H112" i="23" s="1"/>
  <c r="G110" i="23"/>
  <c r="H110" i="23" s="1"/>
  <c r="G66" i="23"/>
  <c r="H66" i="23" s="1"/>
  <c r="G44" i="23"/>
  <c r="H44" i="23" s="1"/>
  <c r="G88" i="23"/>
  <c r="H88" i="23" s="1"/>
  <c r="G89" i="23"/>
  <c r="H89" i="23" s="1"/>
  <c r="G45" i="23"/>
  <c r="H45" i="23" s="1"/>
  <c r="G67" i="23"/>
  <c r="H67" i="23" s="1"/>
  <c r="G80" i="23"/>
  <c r="H80" i="23" s="1"/>
  <c r="G36" i="23"/>
  <c r="H36" i="23" s="1"/>
  <c r="G102" i="23"/>
  <c r="H102" i="23" s="1"/>
  <c r="H58" i="23"/>
  <c r="G60" i="23"/>
  <c r="H60" i="23" s="1"/>
  <c r="G82" i="23"/>
  <c r="H82" i="23" s="1"/>
  <c r="G104" i="23"/>
  <c r="H104" i="23" s="1"/>
  <c r="G38" i="23"/>
  <c r="H38" i="23" s="1"/>
  <c r="G91" i="23"/>
  <c r="H91" i="23" s="1"/>
  <c r="G47" i="23"/>
  <c r="H47" i="23" s="1"/>
  <c r="G69" i="23"/>
  <c r="H69" i="23" s="1"/>
  <c r="G42" i="23"/>
  <c r="H42" i="23" s="1"/>
  <c r="G86" i="23"/>
  <c r="H86" i="23" s="1"/>
  <c r="G65" i="23"/>
  <c r="H65" i="23" s="1"/>
  <c r="G87" i="23"/>
  <c r="H87" i="23" s="1"/>
  <c r="G43" i="23"/>
  <c r="H43" i="23" s="1"/>
  <c r="G48" i="23"/>
  <c r="H48" i="23" s="1"/>
  <c r="G81" i="23"/>
  <c r="H81" i="23" s="1"/>
  <c r="G64" i="23"/>
  <c r="H64" i="23" s="1"/>
  <c r="G70" i="23"/>
  <c r="H70" i="23" s="1"/>
  <c r="G103" i="23"/>
  <c r="H103" i="23" s="1"/>
  <c r="G81" i="10"/>
  <c r="L99" i="10"/>
  <c r="G99" i="10"/>
  <c r="C50" i="1"/>
  <c r="C55" i="1" s="1"/>
  <c r="J55" i="1" s="1"/>
  <c r="H111" i="1"/>
  <c r="H74" i="23" l="1"/>
  <c r="H52" i="23"/>
  <c r="E122" i="23"/>
  <c r="H118" i="23"/>
  <c r="F122" i="23" s="1"/>
  <c r="D122" i="23" l="1"/>
  <c r="H75" i="23"/>
  <c r="D123" i="23" s="1"/>
  <c r="Q242" i="2"/>
  <c r="P242" i="2"/>
  <c r="U257" i="2"/>
  <c r="C115" i="13" l="1"/>
  <c r="E150" i="13"/>
  <c r="I150" i="13" s="1"/>
  <c r="J150" i="13" s="1"/>
  <c r="Q26" i="10"/>
  <c r="J52" i="11"/>
  <c r="J51" i="11"/>
  <c r="G101" i="11"/>
  <c r="G100" i="11"/>
  <c r="J94" i="1" l="1"/>
  <c r="C95" i="1" s="1"/>
  <c r="M51" i="11"/>
  <c r="J93" i="1"/>
  <c r="Q170" i="2" l="1"/>
  <c r="R183" i="2"/>
  <c r="S183" i="2"/>
  <c r="Q183" i="2"/>
  <c r="S155" i="2"/>
  <c r="S170" i="2"/>
  <c r="R170" i="2"/>
  <c r="R132" i="2" l="1"/>
  <c r="R165" i="2" s="1"/>
  <c r="R130" i="2"/>
  <c r="Q172" i="2"/>
  <c r="W29" i="17"/>
  <c r="W28" i="17"/>
  <c r="S174" i="2"/>
  <c r="R174" i="2"/>
  <c r="Q174" i="2"/>
  <c r="S172" i="2"/>
  <c r="S169" i="2" s="1"/>
  <c r="R172" i="2"/>
  <c r="R169" i="2" s="1"/>
  <c r="Q169" i="2" l="1"/>
  <c r="Q187" i="2"/>
  <c r="Q182" i="2" s="1"/>
  <c r="Q186" i="2"/>
  <c r="R187" i="2"/>
  <c r="R182" i="2" s="1"/>
  <c r="R186" i="2"/>
  <c r="S186" i="2"/>
  <c r="S187" i="2"/>
  <c r="S182" i="2" s="1"/>
  <c r="S160" i="2"/>
  <c r="Q185" i="2" l="1"/>
  <c r="Q175" i="2" s="1"/>
  <c r="Q200" i="2" s="1"/>
  <c r="R185" i="2"/>
  <c r="R176" i="2" s="1"/>
  <c r="S185" i="2"/>
  <c r="S175" i="2" s="1"/>
  <c r="S200" i="2" s="1"/>
  <c r="S198" i="2"/>
  <c r="S181" i="2"/>
  <c r="S197" i="2" s="1"/>
  <c r="S199" i="2" s="1"/>
  <c r="R181" i="2"/>
  <c r="R197" i="2" s="1"/>
  <c r="R199" i="2" s="1"/>
  <c r="R198" i="2"/>
  <c r="Q198" i="2"/>
  <c r="Q181" i="2"/>
  <c r="Q197" i="2" s="1"/>
  <c r="Q199" i="2" s="1"/>
  <c r="J11" i="2"/>
  <c r="J10" i="2"/>
  <c r="H11" i="2"/>
  <c r="H10" i="2"/>
  <c r="R127" i="2"/>
  <c r="V41" i="7"/>
  <c r="V42" i="7"/>
  <c r="V43" i="7"/>
  <c r="V44" i="7"/>
  <c r="S162" i="2"/>
  <c r="S163" i="2" s="1"/>
  <c r="R155" i="2"/>
  <c r="Q155" i="2"/>
  <c r="P155" i="2"/>
  <c r="O155" i="2"/>
  <c r="N155" i="2"/>
  <c r="Q160" i="2"/>
  <c r="R160" i="2"/>
  <c r="M155" i="2"/>
  <c r="R162" i="2" l="1"/>
  <c r="R163" i="2" s="1"/>
  <c r="R166" i="2"/>
  <c r="Q176" i="2"/>
  <c r="Q162" i="2"/>
  <c r="Q163" i="2" s="1"/>
  <c r="Q194" i="2"/>
  <c r="Q201" i="2" s="1"/>
  <c r="S176" i="2"/>
  <c r="R175" i="2"/>
  <c r="R200" i="2" s="1"/>
  <c r="S180" i="2"/>
  <c r="Q180" i="2"/>
  <c r="R180" i="2"/>
  <c r="S194" i="2"/>
  <c r="B76" i="5"/>
  <c r="R194" i="2" l="1"/>
  <c r="R201" i="2" s="1"/>
  <c r="R202" i="2" s="1"/>
  <c r="Q203" i="2"/>
  <c r="Q204" i="2" s="1"/>
  <c r="Q202" i="2"/>
  <c r="S201" i="2"/>
  <c r="M30" i="2"/>
  <c r="R203" i="2" l="1"/>
  <c r="R204" i="2" s="1"/>
  <c r="S203" i="2"/>
  <c r="S204" i="2" s="1"/>
  <c r="S202" i="2"/>
  <c r="C92" i="1"/>
  <c r="C91" i="1"/>
  <c r="M52" i="11" l="1"/>
  <c r="M54" i="11" l="1"/>
  <c r="U117" i="1"/>
  <c r="U118" i="1"/>
  <c r="H118" i="1"/>
  <c r="C72" i="13" l="1"/>
  <c r="C73" i="13"/>
  <c r="C74" i="13"/>
  <c r="C75" i="13"/>
  <c r="C76" i="13"/>
  <c r="D76" i="13"/>
  <c r="D86" i="13" s="1"/>
  <c r="E86" i="13" s="1"/>
  <c r="E76" i="13"/>
  <c r="D91" i="13" s="1"/>
  <c r="E91" i="13" s="1"/>
  <c r="F76" i="13"/>
  <c r="D96" i="13" s="1"/>
  <c r="G76" i="13"/>
  <c r="H76" i="13"/>
  <c r="D101" i="13" s="1"/>
  <c r="I76" i="13"/>
  <c r="D106" i="13" s="1"/>
  <c r="E106" i="13" s="1"/>
  <c r="J76" i="13"/>
  <c r="E122" i="10"/>
  <c r="F122" i="10"/>
  <c r="G122" i="10"/>
  <c r="H122" i="10"/>
  <c r="I122" i="10"/>
  <c r="J122" i="10"/>
  <c r="K122" i="10"/>
  <c r="C63" i="13"/>
  <c r="L103" i="10"/>
  <c r="J103" i="10"/>
  <c r="F103" i="10"/>
  <c r="E103" i="10"/>
  <c r="I100" i="10"/>
  <c r="I101" i="10"/>
  <c r="I99" i="10"/>
  <c r="N115" i="10"/>
  <c r="J100" i="10"/>
  <c r="J101" i="10"/>
  <c r="J102" i="10"/>
  <c r="J99" i="10"/>
  <c r="E101" i="13" l="1"/>
  <c r="E96" i="13"/>
  <c r="M133" i="10"/>
  <c r="M130" i="10"/>
  <c r="M129" i="10"/>
  <c r="M127" i="10"/>
  <c r="R126" i="10"/>
  <c r="M125" i="10"/>
  <c r="U75" i="10"/>
  <c r="V75" i="10"/>
  <c r="Q72" i="10"/>
  <c r="Q75" i="10" s="1"/>
  <c r="R72" i="10"/>
  <c r="T72" i="10"/>
  <c r="U72" i="10"/>
  <c r="V72" i="10"/>
  <c r="Q73" i="10"/>
  <c r="R73" i="10"/>
  <c r="T73" i="10"/>
  <c r="T75" i="10" s="1"/>
  <c r="F101" i="10" s="1"/>
  <c r="U73" i="10"/>
  <c r="F102" i="10" s="1"/>
  <c r="V73" i="10"/>
  <c r="Q74" i="10"/>
  <c r="F99" i="10" s="1"/>
  <c r="T74" i="10"/>
  <c r="U74" i="10"/>
  <c r="V74" i="10"/>
  <c r="V71" i="10"/>
  <c r="R71" i="10"/>
  <c r="T71" i="10"/>
  <c r="U71" i="10"/>
  <c r="Q71" i="10"/>
  <c r="X63" i="10"/>
  <c r="X64" i="10"/>
  <c r="X65" i="10"/>
  <c r="X62" i="10"/>
  <c r="H63" i="5"/>
  <c r="H61" i="5"/>
  <c r="H60" i="5"/>
  <c r="D121" i="4"/>
  <c r="G121" i="4"/>
  <c r="G118" i="10" l="1"/>
  <c r="F72" i="13" s="1"/>
  <c r="D92" i="13" s="1"/>
  <c r="E92" i="13" s="1"/>
  <c r="H118" i="10"/>
  <c r="G72" i="13" s="1"/>
  <c r="C57" i="13"/>
  <c r="C58" i="13" s="1"/>
  <c r="I118" i="10"/>
  <c r="H72" i="13" s="1"/>
  <c r="D97" i="13" s="1"/>
  <c r="E97" i="13" s="1"/>
  <c r="J118" i="10"/>
  <c r="I72" i="13" s="1"/>
  <c r="D102" i="13" s="1"/>
  <c r="E102" i="13" s="1"/>
  <c r="K118" i="10"/>
  <c r="J72" i="13" s="1"/>
  <c r="E118" i="10"/>
  <c r="D72" i="13" s="1"/>
  <c r="D82" i="13" s="1"/>
  <c r="E82" i="13" s="1"/>
  <c r="L101" i="10"/>
  <c r="F120" i="10" s="1"/>
  <c r="E74" i="13" s="1"/>
  <c r="D89" i="13" s="1"/>
  <c r="E89" i="13" s="1"/>
  <c r="F118" i="10"/>
  <c r="E72" i="13" s="1"/>
  <c r="D87" i="13" s="1"/>
  <c r="E87" i="13" s="1"/>
  <c r="G35" i="4"/>
  <c r="E100" i="10"/>
  <c r="G100" i="10"/>
  <c r="E101" i="10"/>
  <c r="G101" i="10"/>
  <c r="E102" i="10"/>
  <c r="G102" i="10"/>
  <c r="E99" i="10"/>
  <c r="D54" i="4" a="1"/>
  <c r="D54" i="4" s="1"/>
  <c r="G168" i="4"/>
  <c r="R28" i="10"/>
  <c r="F92" i="10" s="1"/>
  <c r="F90" i="10"/>
  <c r="G90" i="10"/>
  <c r="H90" i="10"/>
  <c r="I90" i="10"/>
  <c r="J90" i="10"/>
  <c r="K90" i="10"/>
  <c r="F91" i="10"/>
  <c r="G91" i="10"/>
  <c r="H91" i="10"/>
  <c r="I91" i="10"/>
  <c r="J91" i="10"/>
  <c r="K91" i="10"/>
  <c r="G92" i="10"/>
  <c r="H92" i="10"/>
  <c r="I92" i="10"/>
  <c r="J92" i="10"/>
  <c r="K92" i="10"/>
  <c r="F93" i="10"/>
  <c r="G93" i="10"/>
  <c r="H93" i="10"/>
  <c r="I93" i="10"/>
  <c r="J93" i="10"/>
  <c r="K93" i="10"/>
  <c r="E91" i="10"/>
  <c r="E92" i="10"/>
  <c r="E93" i="10"/>
  <c r="E90" i="10"/>
  <c r="F81" i="10"/>
  <c r="F82" i="10"/>
  <c r="G82" i="10"/>
  <c r="F83" i="10"/>
  <c r="G83" i="10"/>
  <c r="F84" i="10"/>
  <c r="G84" i="10"/>
  <c r="E82" i="10"/>
  <c r="E83" i="10"/>
  <c r="E84" i="10"/>
  <c r="E81" i="10"/>
  <c r="E44" i="10"/>
  <c r="D44" i="10"/>
  <c r="C44" i="10"/>
  <c r="S29" i="10"/>
  <c r="E47" i="10"/>
  <c r="E46" i="10"/>
  <c r="E45" i="10"/>
  <c r="R90" i="10"/>
  <c r="R92" i="10" s="1"/>
  <c r="R52" i="10"/>
  <c r="E120" i="10" l="1"/>
  <c r="D74" i="13" s="1"/>
  <c r="D84" i="13" s="1"/>
  <c r="E84" i="13" s="1"/>
  <c r="G120" i="10"/>
  <c r="F74" i="13" s="1"/>
  <c r="D94" i="13" s="1"/>
  <c r="E94" i="13" s="1"/>
  <c r="C64" i="13"/>
  <c r="C65" i="13" s="1"/>
  <c r="H120" i="10"/>
  <c r="G74" i="13" s="1"/>
  <c r="I120" i="10"/>
  <c r="H74" i="13" s="1"/>
  <c r="D99" i="13" s="1"/>
  <c r="E99" i="13" s="1"/>
  <c r="J120" i="10"/>
  <c r="I74" i="13" s="1"/>
  <c r="D104" i="13" s="1"/>
  <c r="E104" i="13" s="1"/>
  <c r="K120" i="10"/>
  <c r="J74" i="13" s="1"/>
  <c r="E53" i="10"/>
  <c r="C38" i="13"/>
  <c r="C39" i="13"/>
  <c r="C50" i="13" s="1"/>
  <c r="C40" i="13"/>
  <c r="C37" i="13"/>
  <c r="C36" i="13"/>
  <c r="C51" i="13" l="1"/>
  <c r="C52" i="13" s="1"/>
  <c r="F160" i="13"/>
  <c r="K160" i="13" s="1"/>
  <c r="C46" i="13"/>
  <c r="G160" i="13"/>
  <c r="C47" i="13"/>
  <c r="C48" i="13" s="1"/>
  <c r="C49" i="13" s="1"/>
  <c r="E160" i="13"/>
  <c r="C44" i="13"/>
  <c r="C45" i="13" s="1"/>
  <c r="D160" i="13"/>
  <c r="H160" i="13" s="1"/>
  <c r="I66" i="10"/>
  <c r="F186" i="4"/>
  <c r="G186" i="4"/>
  <c r="H186" i="4"/>
  <c r="I186" i="4"/>
  <c r="G187" i="4"/>
  <c r="H187" i="4"/>
  <c r="I187" i="4"/>
  <c r="F188" i="4"/>
  <c r="G188" i="4"/>
  <c r="H188" i="4"/>
  <c r="I188" i="4"/>
  <c r="F189" i="4"/>
  <c r="G189" i="4"/>
  <c r="H189" i="4"/>
  <c r="I189" i="4"/>
  <c r="F185" i="4"/>
  <c r="G185" i="4"/>
  <c r="H185" i="4"/>
  <c r="I185" i="4"/>
  <c r="C61" i="10"/>
  <c r="C67" i="10" s="1"/>
  <c r="D61" i="10"/>
  <c r="D67" i="10" s="1"/>
  <c r="D60" i="10"/>
  <c r="D66" i="10" s="1"/>
  <c r="C60" i="10"/>
  <c r="C66" i="10" s="1"/>
  <c r="J160" i="13" l="1"/>
  <c r="I160" i="13"/>
  <c r="E67" i="10"/>
  <c r="E61" i="10"/>
  <c r="E66" i="10"/>
  <c r="E60" i="10"/>
  <c r="L86" i="11"/>
  <c r="L85" i="11"/>
  <c r="I196" i="4"/>
  <c r="L84" i="11"/>
  <c r="L82" i="11"/>
  <c r="L83" i="11"/>
  <c r="L81" i="11"/>
  <c r="B26" i="11" l="1"/>
  <c r="I12" i="8"/>
  <c r="I11" i="8"/>
  <c r="F41" i="10"/>
  <c r="R26" i="10"/>
  <c r="S26" i="10"/>
  <c r="T26" i="10"/>
  <c r="U26" i="10"/>
  <c r="V26" i="10"/>
  <c r="W26" i="10"/>
  <c r="R27" i="10"/>
  <c r="S27" i="10"/>
  <c r="T27" i="10"/>
  <c r="U27" i="10"/>
  <c r="V27" i="10"/>
  <c r="W27" i="10"/>
  <c r="S28" i="10"/>
  <c r="T28" i="10"/>
  <c r="U28" i="10"/>
  <c r="V28" i="10"/>
  <c r="W28" i="10"/>
  <c r="R29" i="10"/>
  <c r="T29" i="10"/>
  <c r="U29" i="10"/>
  <c r="V29" i="10"/>
  <c r="W29" i="10"/>
  <c r="Q29" i="10"/>
  <c r="Q28" i="10"/>
  <c r="Q27" i="10"/>
  <c r="X26" i="10" l="1"/>
  <c r="X29" i="10"/>
  <c r="X27" i="10"/>
  <c r="O26" i="10"/>
  <c r="X28" i="10"/>
  <c r="I197" i="4"/>
  <c r="G47" i="7"/>
  <c r="F47" i="7"/>
  <c r="D36" i="10" l="1"/>
  <c r="B77" i="5" l="1"/>
  <c r="B79" i="5" s="1"/>
  <c r="B81" i="5" s="1"/>
  <c r="E50" i="1"/>
  <c r="B58" i="1"/>
  <c r="B69" i="1" s="1"/>
  <c r="D15" i="11" l="1"/>
  <c r="E15" i="11"/>
  <c r="C15" i="11"/>
  <c r="E16" i="1" l="1"/>
  <c r="E17" i="1"/>
  <c r="E54" i="1" s="1"/>
  <c r="E18" i="1"/>
  <c r="E55" i="1" s="1"/>
  <c r="H18" i="1"/>
  <c r="E19" i="1"/>
  <c r="E56" i="1" s="1"/>
  <c r="E20" i="1"/>
  <c r="E57" i="1" s="1"/>
  <c r="C16" i="1"/>
  <c r="D61" i="5"/>
  <c r="D60" i="5"/>
  <c r="H37" i="10"/>
  <c r="G17" i="1" s="1"/>
  <c r="H38" i="10"/>
  <c r="H39" i="10"/>
  <c r="G19" i="1" s="1"/>
  <c r="H40" i="10"/>
  <c r="G20" i="1" s="1"/>
  <c r="H36" i="10"/>
  <c r="C47" i="10" s="1"/>
  <c r="G36" i="10"/>
  <c r="I36" i="10"/>
  <c r="G37" i="10"/>
  <c r="F17" i="1" s="1"/>
  <c r="I37" i="10"/>
  <c r="H17" i="1" s="1"/>
  <c r="G38" i="10"/>
  <c r="I38" i="10"/>
  <c r="G39" i="10"/>
  <c r="F19" i="1" s="1"/>
  <c r="I39" i="10"/>
  <c r="H19" i="1" s="1"/>
  <c r="G40" i="10"/>
  <c r="F20" i="1" s="1"/>
  <c r="I40" i="10"/>
  <c r="H20" i="1" s="1"/>
  <c r="D37" i="10"/>
  <c r="C17" i="1" s="1"/>
  <c r="E37" i="10"/>
  <c r="D17" i="1" s="1"/>
  <c r="D38" i="10"/>
  <c r="E38" i="10"/>
  <c r="D39" i="10"/>
  <c r="C19" i="1" s="1"/>
  <c r="E39" i="10"/>
  <c r="D19" i="1" s="1"/>
  <c r="D40" i="10"/>
  <c r="C20" i="1" s="1"/>
  <c r="E40" i="10"/>
  <c r="D20" i="1" s="1"/>
  <c r="H13" i="10"/>
  <c r="G18" i="1" l="1"/>
  <c r="D47" i="10"/>
  <c r="D16" i="1"/>
  <c r="C45" i="10"/>
  <c r="G16" i="1"/>
  <c r="F18" i="1"/>
  <c r="D46" i="10"/>
  <c r="C18" i="1"/>
  <c r="D18" i="1"/>
  <c r="D45" i="10"/>
  <c r="F16" i="1"/>
  <c r="C46" i="10"/>
  <c r="H41" i="10"/>
  <c r="I41" i="10"/>
  <c r="D41" i="10"/>
  <c r="G41" i="10"/>
  <c r="E41" i="10"/>
  <c r="H16" i="1"/>
  <c r="U60" i="5"/>
  <c r="E38" i="1" l="1"/>
  <c r="E69" i="1" s="1"/>
  <c r="E40" i="1" l="1"/>
  <c r="E63" i="1" s="1"/>
  <c r="E41" i="1"/>
  <c r="E65" i="1" s="1"/>
  <c r="E43" i="1"/>
  <c r="E67" i="1" s="1"/>
  <c r="E42" i="1"/>
  <c r="E66" i="1" s="1"/>
  <c r="E44" i="1"/>
  <c r="E68" i="1" s="1"/>
  <c r="P108" i="1"/>
  <c r="E9" i="9" l="1"/>
  <c r="E11" i="9" s="1"/>
  <c r="F9" i="9"/>
  <c r="F11" i="9" s="1"/>
  <c r="Q125" i="1"/>
  <c r="P125" i="1"/>
  <c r="G118" i="1" s="1"/>
  <c r="O125" i="1"/>
  <c r="F118" i="1" s="1"/>
  <c r="N125" i="1"/>
  <c r="M125" i="1"/>
  <c r="L125" i="1"/>
  <c r="C118" i="1" s="1"/>
  <c r="D9" i="9"/>
  <c r="D11" i="9" s="1"/>
  <c r="J98" i="1"/>
  <c r="N113" i="1"/>
  <c r="H123" i="1" s="1"/>
  <c r="M113" i="1"/>
  <c r="G123" i="1" s="1"/>
  <c r="L113" i="1"/>
  <c r="F123" i="1" s="1"/>
  <c r="K113" i="1"/>
  <c r="C123" i="1" s="1"/>
  <c r="G108" i="1"/>
  <c r="H108" i="1"/>
  <c r="F108" i="1"/>
  <c r="C108" i="1"/>
  <c r="H103" i="1"/>
  <c r="H113" i="1" s="1"/>
  <c r="D103" i="1"/>
  <c r="E103" i="1"/>
  <c r="F103" i="1"/>
  <c r="F113" i="1" s="1"/>
  <c r="G103" i="1"/>
  <c r="G113" i="1" s="1"/>
  <c r="C103" i="1"/>
  <c r="C113" i="1" s="1"/>
  <c r="C96" i="1"/>
  <c r="H55" i="5"/>
  <c r="I54" i="5" s="1"/>
  <c r="I55" i="5" s="1"/>
  <c r="H54" i="5"/>
  <c r="C94" i="1"/>
  <c r="M97" i="2" l="1"/>
  <c r="M245" i="2"/>
  <c r="Z29" i="10" l="1"/>
  <c r="D25" i="13"/>
  <c r="C106" i="1"/>
  <c r="C116" i="1" s="1"/>
  <c r="S143" i="2"/>
  <c r="Q141" i="2"/>
  <c r="N247" i="2"/>
  <c r="E18" i="13" s="1"/>
  <c r="U37" i="10" l="1"/>
  <c r="Q37" i="10"/>
  <c r="S37" i="10"/>
  <c r="T37" i="10"/>
  <c r="R37" i="10"/>
  <c r="V37" i="10"/>
  <c r="W37" i="10"/>
  <c r="M242" i="2"/>
  <c r="Q124" i="2"/>
  <c r="D22" i="13" l="1"/>
  <c r="Z26" i="10"/>
  <c r="C101" i="1"/>
  <c r="O247" i="2"/>
  <c r="F18" i="13" s="1"/>
  <c r="T34" i="10" l="1"/>
  <c r="U34" i="10"/>
  <c r="Q34" i="10"/>
  <c r="S34" i="10"/>
  <c r="V34" i="10"/>
  <c r="R34" i="10"/>
  <c r="W34" i="10"/>
  <c r="C111" i="1"/>
  <c r="H51" i="5"/>
  <c r="E25" i="1" l="1"/>
  <c r="E58" i="1" s="1"/>
  <c r="E60" i="1" s="1"/>
  <c r="B30" i="1"/>
  <c r="B41" i="1" s="1"/>
  <c r="B54" i="1" s="1"/>
  <c r="B65" i="1" s="1"/>
  <c r="B31" i="1"/>
  <c r="B42" i="1" s="1"/>
  <c r="B55" i="1" s="1"/>
  <c r="B66" i="1" s="1"/>
  <c r="B32" i="1"/>
  <c r="B43" i="1" s="1"/>
  <c r="B56" i="1" s="1"/>
  <c r="B67" i="1" s="1"/>
  <c r="B33" i="1"/>
  <c r="B44" i="1" s="1"/>
  <c r="B57" i="1" s="1"/>
  <c r="B68" i="1" s="1"/>
  <c r="B29" i="1"/>
  <c r="B40" i="1" s="1"/>
  <c r="E94" i="4"/>
  <c r="E32" i="1" l="1"/>
  <c r="E29" i="1"/>
  <c r="E33" i="1"/>
  <c r="E30" i="1"/>
  <c r="E31" i="1"/>
  <c r="Q130" i="2"/>
  <c r="U243" i="2"/>
  <c r="L23" i="13" s="1"/>
  <c r="M246" i="2"/>
  <c r="U245" i="2"/>
  <c r="L25" i="13" s="1"/>
  <c r="T245" i="2"/>
  <c r="K25" i="13" s="1"/>
  <c r="S245" i="2"/>
  <c r="J25" i="13" s="1"/>
  <c r="R245" i="2"/>
  <c r="I25" i="13" s="1"/>
  <c r="Q245" i="2"/>
  <c r="H25" i="13" s="1"/>
  <c r="H25" i="1"/>
  <c r="H58" i="1" s="1"/>
  <c r="M244" i="2"/>
  <c r="M243" i="2"/>
  <c r="R218" i="2"/>
  <c r="R219" i="2" s="1"/>
  <c r="S218" i="2"/>
  <c r="S219" i="2" s="1"/>
  <c r="R220" i="2"/>
  <c r="T220" i="2" s="1"/>
  <c r="U220" i="2" s="1"/>
  <c r="S220" i="2"/>
  <c r="Q220" i="2"/>
  <c r="Q218" i="2"/>
  <c r="Q219" i="2" s="1"/>
  <c r="S132" i="2"/>
  <c r="S165" i="2" s="1"/>
  <c r="S166" i="2" s="1"/>
  <c r="Q132" i="2"/>
  <c r="Q165" i="2" s="1"/>
  <c r="Q166" i="2" s="1"/>
  <c r="P141" i="2"/>
  <c r="R141" i="2"/>
  <c r="S141" i="2"/>
  <c r="R143" i="2"/>
  <c r="R144" i="2" s="1"/>
  <c r="S144" i="2"/>
  <c r="T234" i="2" s="1"/>
  <c r="Q143" i="2"/>
  <c r="S130" i="2"/>
  <c r="S124" i="2"/>
  <c r="R124" i="2"/>
  <c r="S127" i="2"/>
  <c r="Q127" i="2"/>
  <c r="M27" i="2"/>
  <c r="D6" i="13" s="1"/>
  <c r="D13" i="13" s="1"/>
  <c r="M28" i="2"/>
  <c r="D7" i="13" s="1"/>
  <c r="D14" i="13" s="1"/>
  <c r="M29" i="2"/>
  <c r="D8" i="13" s="1"/>
  <c r="D15" i="13" s="1"/>
  <c r="D9" i="13"/>
  <c r="D16" i="13" s="1"/>
  <c r="M26" i="2"/>
  <c r="D5" i="13" s="1"/>
  <c r="N17" i="2"/>
  <c r="O17" i="2" s="1"/>
  <c r="P17" i="2" s="1"/>
  <c r="Q17" i="2" s="1"/>
  <c r="R17" i="2" s="1"/>
  <c r="S17" i="2" s="1"/>
  <c r="T17" i="2" s="1"/>
  <c r="U17" i="2" s="1"/>
  <c r="N10" i="2"/>
  <c r="N11" i="2"/>
  <c r="N12" i="2"/>
  <c r="O12" i="2" s="1"/>
  <c r="P12" i="2" s="1"/>
  <c r="Q12" i="2" s="1"/>
  <c r="R12" i="2" s="1"/>
  <c r="S12" i="2" s="1"/>
  <c r="T12" i="2" s="1"/>
  <c r="U12" i="2" s="1"/>
  <c r="N13" i="2"/>
  <c r="N14" i="2"/>
  <c r="N15" i="2"/>
  <c r="O15" i="2" s="1"/>
  <c r="P15" i="2" s="1"/>
  <c r="Q15" i="2" s="1"/>
  <c r="R15" i="2" s="1"/>
  <c r="S15" i="2" s="1"/>
  <c r="T15" i="2" s="1"/>
  <c r="U15" i="2" s="1"/>
  <c r="N16" i="2"/>
  <c r="O16" i="2" s="1"/>
  <c r="H82" i="2"/>
  <c r="I82" i="2"/>
  <c r="J82" i="2"/>
  <c r="K82" i="2"/>
  <c r="L82" i="2"/>
  <c r="M82" i="2"/>
  <c r="N82" i="2"/>
  <c r="O82" i="2"/>
  <c r="P82" i="2"/>
  <c r="G82" i="2"/>
  <c r="H66" i="2"/>
  <c r="H64" i="2" s="1"/>
  <c r="I66" i="2"/>
  <c r="I64" i="2" s="1"/>
  <c r="I76" i="2" s="1"/>
  <c r="J66" i="2"/>
  <c r="J64" i="2" s="1"/>
  <c r="K66" i="2"/>
  <c r="K64" i="2" s="1"/>
  <c r="L66" i="2"/>
  <c r="L64" i="2" s="1"/>
  <c r="M66" i="2"/>
  <c r="M64" i="2" s="1"/>
  <c r="M76" i="2" s="1"/>
  <c r="N66" i="2"/>
  <c r="N64" i="2" s="1"/>
  <c r="O66" i="2"/>
  <c r="O64" i="2" s="1"/>
  <c r="P66" i="2"/>
  <c r="P64" i="2" s="1"/>
  <c r="H68" i="2"/>
  <c r="I68" i="2"/>
  <c r="J68" i="2"/>
  <c r="K68" i="2"/>
  <c r="L68" i="2"/>
  <c r="M68" i="2"/>
  <c r="N68" i="2"/>
  <c r="O68" i="2"/>
  <c r="P68" i="2"/>
  <c r="H69" i="2"/>
  <c r="H65" i="2" s="1"/>
  <c r="I69" i="2"/>
  <c r="I65" i="2" s="1"/>
  <c r="J69" i="2"/>
  <c r="J65" i="2" s="1"/>
  <c r="K69" i="2"/>
  <c r="K65" i="2" s="1"/>
  <c r="L69" i="2"/>
  <c r="L65" i="2" s="1"/>
  <c r="M69" i="2"/>
  <c r="M65" i="2" s="1"/>
  <c r="N69" i="2"/>
  <c r="N65" i="2" s="1"/>
  <c r="O69" i="2"/>
  <c r="O65" i="2" s="1"/>
  <c r="P69" i="2"/>
  <c r="P65" i="2" s="1"/>
  <c r="H70" i="2"/>
  <c r="I70" i="2"/>
  <c r="J70" i="2"/>
  <c r="K70" i="2"/>
  <c r="L70" i="2"/>
  <c r="M70" i="2"/>
  <c r="N70" i="2"/>
  <c r="O70" i="2"/>
  <c r="P70" i="2"/>
  <c r="G70" i="2"/>
  <c r="G66" i="2"/>
  <c r="G64" i="2" s="1"/>
  <c r="G69" i="2"/>
  <c r="G65" i="2" s="1"/>
  <c r="G68" i="2"/>
  <c r="S41" i="7"/>
  <c r="T41" i="7"/>
  <c r="U41" i="7"/>
  <c r="P80" i="2" s="1"/>
  <c r="P81" i="2" s="1"/>
  <c r="P144" i="2" s="1"/>
  <c r="S42" i="7"/>
  <c r="T42" i="7"/>
  <c r="U42" i="7"/>
  <c r="S43" i="7"/>
  <c r="N78" i="2" s="1"/>
  <c r="T43" i="7"/>
  <c r="O78" i="2" s="1"/>
  <c r="U43" i="7"/>
  <c r="P78" i="2" s="1"/>
  <c r="S44" i="7"/>
  <c r="N79" i="2" s="1"/>
  <c r="T44" i="7"/>
  <c r="O79" i="2" s="1"/>
  <c r="U44" i="7"/>
  <c r="P79" i="2" s="1"/>
  <c r="P142" i="2" s="1"/>
  <c r="H45" i="7"/>
  <c r="H46" i="7" s="1"/>
  <c r="G45" i="7"/>
  <c r="F45" i="7"/>
  <c r="F46" i="7" s="1"/>
  <c r="D43" i="7"/>
  <c r="D44" i="7" s="1"/>
  <c r="D41" i="7"/>
  <c r="D42" i="7" s="1"/>
  <c r="AR18" i="7"/>
  <c r="AQ18" i="7"/>
  <c r="AS18" i="7" s="1"/>
  <c r="AH18" i="7"/>
  <c r="AG18" i="7"/>
  <c r="AD18" i="7"/>
  <c r="AB18" i="7"/>
  <c r="H47" i="7" s="1"/>
  <c r="X18" i="7"/>
  <c r="V18" i="7"/>
  <c r="P18" i="7"/>
  <c r="I18" i="7"/>
  <c r="B18" i="7" s="1"/>
  <c r="AR17" i="7"/>
  <c r="AQ17" i="7"/>
  <c r="AS17" i="7" s="1"/>
  <c r="AH17" i="7"/>
  <c r="AG17" i="7"/>
  <c r="AD17" i="7"/>
  <c r="AB17" i="7"/>
  <c r="X17" i="7"/>
  <c r="V17" i="7"/>
  <c r="T17" i="7"/>
  <c r="P17" i="7"/>
  <c r="N17" i="7"/>
  <c r="B17" i="7"/>
  <c r="D17" i="7" s="1"/>
  <c r="AR16" i="7"/>
  <c r="AQ16" i="7"/>
  <c r="AS16" i="7" s="1"/>
  <c r="AH16" i="7"/>
  <c r="AG16" i="7"/>
  <c r="AD16" i="7"/>
  <c r="AB16" i="7"/>
  <c r="X16" i="7"/>
  <c r="V16" i="7"/>
  <c r="P16" i="7"/>
  <c r="N16" i="7"/>
  <c r="B16" i="7"/>
  <c r="D16" i="7" s="1"/>
  <c r="AR15" i="7"/>
  <c r="AQ15" i="7"/>
  <c r="AS15" i="7" s="1"/>
  <c r="AT15" i="7" s="1"/>
  <c r="AH15" i="7"/>
  <c r="AG15" i="7"/>
  <c r="AD15" i="7"/>
  <c r="AB15" i="7"/>
  <c r="X15" i="7"/>
  <c r="V15" i="7"/>
  <c r="P15" i="7"/>
  <c r="N15" i="7"/>
  <c r="B15" i="7"/>
  <c r="D15" i="7" s="1"/>
  <c r="AS14" i="7"/>
  <c r="AT14" i="7" s="1"/>
  <c r="AH14" i="7"/>
  <c r="AG14" i="7"/>
  <c r="AD14" i="7"/>
  <c r="AB14" i="7"/>
  <c r="X14" i="7"/>
  <c r="P14" i="7"/>
  <c r="B14" i="7"/>
  <c r="AS13" i="7"/>
  <c r="AT13" i="7" s="1"/>
  <c r="AH13" i="7"/>
  <c r="AG13" i="7"/>
  <c r="AD13" i="7"/>
  <c r="AB13" i="7"/>
  <c r="X13" i="7"/>
  <c r="P13" i="7"/>
  <c r="B13" i="7"/>
  <c r="AS12" i="7"/>
  <c r="AT12" i="7" s="1"/>
  <c r="AH12" i="7"/>
  <c r="AG12" i="7"/>
  <c r="AD12" i="7"/>
  <c r="AB12" i="7"/>
  <c r="X12" i="7"/>
  <c r="P12" i="7"/>
  <c r="B12" i="7"/>
  <c r="AS11" i="7"/>
  <c r="AT11" i="7" s="1"/>
  <c r="AH11" i="7"/>
  <c r="AG11" i="7"/>
  <c r="AD11" i="7"/>
  <c r="AB11" i="7"/>
  <c r="X11" i="7"/>
  <c r="P11" i="7"/>
  <c r="B11" i="7"/>
  <c r="AS10" i="7"/>
  <c r="AT10" i="7" s="1"/>
  <c r="X10" i="7"/>
  <c r="P10" i="7"/>
  <c r="B10" i="7"/>
  <c r="AS9" i="7"/>
  <c r="AT9" i="7" s="1"/>
  <c r="X9" i="7"/>
  <c r="P9" i="7"/>
  <c r="B9" i="7"/>
  <c r="AS8" i="7"/>
  <c r="AT8" i="7" s="1"/>
  <c r="X8" i="7"/>
  <c r="P8" i="7"/>
  <c r="B8" i="7"/>
  <c r="D12" i="13" l="1"/>
  <c r="D10" i="13"/>
  <c r="D26" i="13"/>
  <c r="D23" i="13"/>
  <c r="Z27" i="10"/>
  <c r="Z28" i="10"/>
  <c r="D24" i="13"/>
  <c r="N27" i="2"/>
  <c r="E6" i="13" s="1"/>
  <c r="E13" i="13" s="1"/>
  <c r="H38" i="1"/>
  <c r="H106" i="1"/>
  <c r="H116" i="1" s="1"/>
  <c r="AT18" i="7"/>
  <c r="F25" i="1"/>
  <c r="F58" i="1" s="1"/>
  <c r="C104" i="1"/>
  <c r="C114" i="1" s="1"/>
  <c r="N30" i="2"/>
  <c r="E9" i="13" s="1"/>
  <c r="E16" i="13" s="1"/>
  <c r="T231" i="2"/>
  <c r="U231" i="2" s="1"/>
  <c r="O11" i="2"/>
  <c r="P11" i="2" s="1"/>
  <c r="N28" i="2"/>
  <c r="E7" i="13" s="1"/>
  <c r="E14" i="13" s="1"/>
  <c r="G25" i="1"/>
  <c r="G58" i="1" s="1"/>
  <c r="C105" i="1"/>
  <c r="C115" i="1" s="1"/>
  <c r="M261" i="2"/>
  <c r="C102" i="1"/>
  <c r="D25" i="1"/>
  <c r="S133" i="2"/>
  <c r="S134" i="2" s="1"/>
  <c r="G106" i="1"/>
  <c r="G116" i="1" s="1"/>
  <c r="H29" i="1"/>
  <c r="H33" i="1"/>
  <c r="H30" i="1"/>
  <c r="H31" i="1"/>
  <c r="H32" i="1"/>
  <c r="AT17" i="7"/>
  <c r="T218" i="2"/>
  <c r="U218" i="2" s="1"/>
  <c r="Q133" i="2"/>
  <c r="Q134" i="2" s="1"/>
  <c r="M260" i="2"/>
  <c r="C25" i="1"/>
  <c r="C58" i="1" s="1"/>
  <c r="O73" i="2"/>
  <c r="K73" i="2"/>
  <c r="I78" i="2"/>
  <c r="I85" i="2" s="1"/>
  <c r="R133" i="2"/>
  <c r="R134" i="2" s="1"/>
  <c r="P143" i="2"/>
  <c r="P243" i="2" s="1"/>
  <c r="G23" i="13" s="1"/>
  <c r="P145" i="2"/>
  <c r="P245" i="2" s="1"/>
  <c r="G25" i="13" s="1"/>
  <c r="P73" i="2"/>
  <c r="P76" i="2"/>
  <c r="P85" i="2" s="1"/>
  <c r="M78" i="2"/>
  <c r="M85" i="2" s="1"/>
  <c r="G76" i="2"/>
  <c r="G73" i="2"/>
  <c r="O29" i="2"/>
  <c r="F8" i="13" s="1"/>
  <c r="F15" i="13" s="1"/>
  <c r="P16" i="2"/>
  <c r="L73" i="2"/>
  <c r="L76" i="2"/>
  <c r="L78" i="2" s="1"/>
  <c r="L85" i="2" s="1"/>
  <c r="H73" i="2"/>
  <c r="H76" i="2"/>
  <c r="H78" i="2" s="1"/>
  <c r="H85" i="2" s="1"/>
  <c r="N29" i="2"/>
  <c r="E8" i="13" s="1"/>
  <c r="E15" i="13" s="1"/>
  <c r="Q30" i="2"/>
  <c r="H9" i="13" s="1"/>
  <c r="H16" i="13" s="1"/>
  <c r="T233" i="2"/>
  <c r="T243" i="2" s="1"/>
  <c r="K23" i="13" s="1"/>
  <c r="O76" i="2"/>
  <c r="O85" i="2" s="1"/>
  <c r="K76" i="2"/>
  <c r="K78" i="2" s="1"/>
  <c r="K85" i="2" s="1"/>
  <c r="N73" i="2"/>
  <c r="J73" i="2"/>
  <c r="N76" i="2"/>
  <c r="N85" i="2" s="1"/>
  <c r="J76" i="2"/>
  <c r="J78" i="2" s="1"/>
  <c r="J85" i="2" s="1"/>
  <c r="Q144" i="2"/>
  <c r="Q243" i="2" s="1"/>
  <c r="H23" i="13" s="1"/>
  <c r="S243" i="2"/>
  <c r="J23" i="13" s="1"/>
  <c r="U30" i="2"/>
  <c r="L9" i="13" s="1"/>
  <c r="R243" i="2"/>
  <c r="N26" i="2"/>
  <c r="O13" i="2"/>
  <c r="O10" i="2"/>
  <c r="T30" i="2"/>
  <c r="K9" i="13" s="1"/>
  <c r="K16" i="13" s="1"/>
  <c r="O14" i="2"/>
  <c r="R30" i="2"/>
  <c r="I9" i="13" s="1"/>
  <c r="I16" i="13" s="1"/>
  <c r="S30" i="2"/>
  <c r="J9" i="13" s="1"/>
  <c r="J16" i="13" s="1"/>
  <c r="I73" i="2"/>
  <c r="M73" i="2"/>
  <c r="M247" i="2"/>
  <c r="N246" i="2" s="1"/>
  <c r="AT16" i="7"/>
  <c r="N18" i="7"/>
  <c r="D45" i="7"/>
  <c r="M44" i="5"/>
  <c r="L16" i="13" l="1"/>
  <c r="M16" i="13" s="1"/>
  <c r="N16" i="13" s="1"/>
  <c r="O16" i="13" s="1"/>
  <c r="P16" i="13" s="1"/>
  <c r="Q16" i="13" s="1"/>
  <c r="R16" i="13" s="1"/>
  <c r="S16" i="13" s="1"/>
  <c r="T16" i="13" s="1"/>
  <c r="U16" i="13" s="1"/>
  <c r="V16" i="13" s="1"/>
  <c r="W16" i="13" s="1"/>
  <c r="F146" i="13"/>
  <c r="O246" i="2"/>
  <c r="E26" i="13"/>
  <c r="E27" i="13" s="1"/>
  <c r="D104" i="1"/>
  <c r="R36" i="10"/>
  <c r="W36" i="10"/>
  <c r="Q36" i="10"/>
  <c r="S36" i="10"/>
  <c r="T36" i="10"/>
  <c r="V36" i="10"/>
  <c r="U36" i="10"/>
  <c r="N244" i="2"/>
  <c r="T35" i="10"/>
  <c r="Q35" i="10"/>
  <c r="S35" i="10"/>
  <c r="U35" i="10"/>
  <c r="V35" i="10"/>
  <c r="W35" i="10"/>
  <c r="W38" i="10" s="1"/>
  <c r="R35" i="10"/>
  <c r="N243" i="2"/>
  <c r="M265" i="2"/>
  <c r="N245" i="2"/>
  <c r="N242" i="2"/>
  <c r="I23" i="13"/>
  <c r="AA29" i="10"/>
  <c r="M255" i="2"/>
  <c r="M257" i="2" s="1"/>
  <c r="D18" i="13"/>
  <c r="D27" i="13" s="1"/>
  <c r="F29" i="1"/>
  <c r="N31" i="2"/>
  <c r="N254" i="2" s="1"/>
  <c r="E5" i="13"/>
  <c r="F33" i="1"/>
  <c r="F30" i="1"/>
  <c r="F31" i="1"/>
  <c r="G31" i="1"/>
  <c r="G30" i="1"/>
  <c r="O28" i="2"/>
  <c r="F7" i="13" s="1"/>
  <c r="F14" i="13" s="1"/>
  <c r="D32" i="1"/>
  <c r="D58" i="1"/>
  <c r="J58" i="1" s="1"/>
  <c r="D29" i="1"/>
  <c r="D33" i="1"/>
  <c r="D31" i="1"/>
  <c r="D30" i="1"/>
  <c r="C112" i="1"/>
  <c r="C117" i="1" s="1"/>
  <c r="C107" i="1"/>
  <c r="F32" i="1"/>
  <c r="G29" i="1"/>
  <c r="G38" i="1"/>
  <c r="H105" i="1"/>
  <c r="H115" i="1" s="1"/>
  <c r="G32" i="1"/>
  <c r="H69" i="1"/>
  <c r="H41" i="1"/>
  <c r="H65" i="1" s="1"/>
  <c r="H40" i="1"/>
  <c r="H63" i="1" s="1"/>
  <c r="H43" i="1"/>
  <c r="H67" i="1" s="1"/>
  <c r="H42" i="1"/>
  <c r="H66" i="1" s="1"/>
  <c r="H44" i="1"/>
  <c r="H68" i="1" s="1"/>
  <c r="G105" i="1"/>
  <c r="G115" i="1" s="1"/>
  <c r="G33" i="1"/>
  <c r="F105" i="1"/>
  <c r="F115" i="1" s="1"/>
  <c r="G50" i="1"/>
  <c r="F106" i="1"/>
  <c r="F116" i="1" s="1"/>
  <c r="H50" i="1"/>
  <c r="C33" i="1"/>
  <c r="C30" i="1"/>
  <c r="C29" i="1"/>
  <c r="C32" i="1"/>
  <c r="C31" i="1"/>
  <c r="H35" i="1"/>
  <c r="K45" i="5"/>
  <c r="H52" i="5"/>
  <c r="I52" i="5" s="1"/>
  <c r="Q47" i="5"/>
  <c r="Q16" i="2"/>
  <c r="P29" i="2"/>
  <c r="G8" i="13" s="1"/>
  <c r="G15" i="13" s="1"/>
  <c r="G78" i="2"/>
  <c r="G85" i="2" s="1"/>
  <c r="P10" i="2"/>
  <c r="O26" i="2"/>
  <c r="F5" i="13" s="1"/>
  <c r="P13" i="2"/>
  <c r="P30" i="2" s="1"/>
  <c r="G9" i="13" s="1"/>
  <c r="G16" i="13" s="1"/>
  <c r="O30" i="2"/>
  <c r="F9" i="13" s="1"/>
  <c r="F16" i="13" s="1"/>
  <c r="P14" i="2"/>
  <c r="O27" i="2"/>
  <c r="F6" i="13" s="1"/>
  <c r="F13" i="13" s="1"/>
  <c r="Q11" i="2"/>
  <c r="P28" i="2"/>
  <c r="G7" i="13" s="1"/>
  <c r="G14" i="13" s="1"/>
  <c r="M116" i="2"/>
  <c r="O98" i="2"/>
  <c r="M18" i="2"/>
  <c r="G209" i="4"/>
  <c r="G208" i="4"/>
  <c r="G207" i="4"/>
  <c r="G206" i="4"/>
  <c r="J205" i="4"/>
  <c r="I205" i="4"/>
  <c r="G205" i="4"/>
  <c r="G204" i="4"/>
  <c r="J201" i="4"/>
  <c r="J209" i="4" s="1"/>
  <c r="K209" i="4" s="1"/>
  <c r="I201" i="4"/>
  <c r="I209" i="4" s="1"/>
  <c r="J200" i="4"/>
  <c r="J208" i="4" s="1"/>
  <c r="I200" i="4"/>
  <c r="I208" i="4" s="1"/>
  <c r="J199" i="4"/>
  <c r="J207" i="4" s="1"/>
  <c r="I199" i="4"/>
  <c r="I207" i="4" s="1"/>
  <c r="J198" i="4"/>
  <c r="J206" i="4" s="1"/>
  <c r="I198" i="4"/>
  <c r="I206" i="4" s="1"/>
  <c r="J196" i="4"/>
  <c r="J204" i="4" s="1"/>
  <c r="I204" i="4"/>
  <c r="F167" i="4"/>
  <c r="F166" i="4"/>
  <c r="H164" i="4"/>
  <c r="L163" i="4" s="1"/>
  <c r="M161" i="4"/>
  <c r="M160" i="4"/>
  <c r="M159" i="4"/>
  <c r="L159" i="4"/>
  <c r="M158" i="4"/>
  <c r="I151" i="4"/>
  <c r="H151" i="4"/>
  <c r="G151" i="4"/>
  <c r="E151" i="4"/>
  <c r="D151" i="4"/>
  <c r="O150" i="4"/>
  <c r="F150" i="4"/>
  <c r="O149" i="4"/>
  <c r="F149" i="4"/>
  <c r="O148" i="4"/>
  <c r="F148" i="4"/>
  <c r="O147" i="4"/>
  <c r="I144" i="4"/>
  <c r="G144" i="4"/>
  <c r="E144" i="4"/>
  <c r="D144" i="4"/>
  <c r="J136" i="4"/>
  <c r="E136" i="4"/>
  <c r="F131" i="4"/>
  <c r="C97" i="4"/>
  <c r="G96" i="4"/>
  <c r="D96" i="4"/>
  <c r="C96" i="4"/>
  <c r="I95" i="4"/>
  <c r="H95" i="4"/>
  <c r="G95" i="4"/>
  <c r="F95" i="4"/>
  <c r="E95" i="4"/>
  <c r="D95" i="4"/>
  <c r="C95" i="4"/>
  <c r="I94" i="4"/>
  <c r="H94" i="4"/>
  <c r="G94" i="4"/>
  <c r="F94" i="4"/>
  <c r="D94" i="4"/>
  <c r="C94" i="4"/>
  <c r="I87" i="4"/>
  <c r="I86" i="4"/>
  <c r="I85" i="4"/>
  <c r="I84" i="4"/>
  <c r="I83" i="4"/>
  <c r="I82" i="4"/>
  <c r="I81" i="4"/>
  <c r="I80" i="4"/>
  <c r="G77" i="4"/>
  <c r="D77" i="4"/>
  <c r="H74" i="4"/>
  <c r="F74" i="4"/>
  <c r="F96" i="4" s="1"/>
  <c r="E74" i="4"/>
  <c r="E96" i="4" s="1"/>
  <c r="T58" i="4"/>
  <c r="S58" i="4"/>
  <c r="R58" i="4"/>
  <c r="Q58" i="4"/>
  <c r="P58" i="4"/>
  <c r="O58" i="4"/>
  <c r="N58" i="4"/>
  <c r="U57" i="4"/>
  <c r="U56" i="4"/>
  <c r="U55" i="4"/>
  <c r="U54" i="4"/>
  <c r="U53" i="4"/>
  <c r="U52" i="4"/>
  <c r="U51" i="4"/>
  <c r="U50" i="4"/>
  <c r="I49" i="4"/>
  <c r="I105" i="4" s="1"/>
  <c r="I136" i="4" s="1"/>
  <c r="G49" i="4"/>
  <c r="G105" i="4" s="1"/>
  <c r="G136" i="4" s="1"/>
  <c r="F49" i="4"/>
  <c r="E49" i="4"/>
  <c r="D49" i="4"/>
  <c r="D105" i="4" s="1"/>
  <c r="D136" i="4" s="1"/>
  <c r="N41" i="4"/>
  <c r="N38" i="4"/>
  <c r="I37" i="4"/>
  <c r="H37" i="4"/>
  <c r="G37" i="4"/>
  <c r="F37" i="4"/>
  <c r="E37" i="4"/>
  <c r="D37" i="4"/>
  <c r="I36" i="4"/>
  <c r="H36" i="4"/>
  <c r="G36" i="4"/>
  <c r="F36" i="4"/>
  <c r="E36" i="4"/>
  <c r="D36" i="4"/>
  <c r="I35" i="4"/>
  <c r="H35" i="4"/>
  <c r="F35" i="4"/>
  <c r="E35" i="4"/>
  <c r="D35" i="4"/>
  <c r="N34" i="4"/>
  <c r="I34" i="4"/>
  <c r="H34" i="4"/>
  <c r="G34" i="4"/>
  <c r="F34" i="4"/>
  <c r="E34" i="4"/>
  <c r="D34" i="4"/>
  <c r="N33" i="4"/>
  <c r="I33" i="4"/>
  <c r="H33" i="4"/>
  <c r="G33" i="4"/>
  <c r="F33" i="4"/>
  <c r="E33" i="4"/>
  <c r="D33" i="4"/>
  <c r="N32" i="4"/>
  <c r="I32" i="4"/>
  <c r="H32" i="4"/>
  <c r="G32" i="4"/>
  <c r="F32" i="4"/>
  <c r="E32" i="4"/>
  <c r="D32" i="4"/>
  <c r="N31" i="4"/>
  <c r="I31" i="4"/>
  <c r="H31" i="4"/>
  <c r="G31" i="4"/>
  <c r="F31" i="4"/>
  <c r="E31" i="4"/>
  <c r="D31" i="4"/>
  <c r="I24" i="4"/>
  <c r="H24" i="4"/>
  <c r="G24" i="4"/>
  <c r="E24" i="4"/>
  <c r="D24" i="4"/>
  <c r="I12" i="4"/>
  <c r="H12" i="4"/>
  <c r="G12" i="4"/>
  <c r="E12" i="4"/>
  <c r="J12" i="4" s="1"/>
  <c r="D12" i="4"/>
  <c r="J11" i="4"/>
  <c r="J10" i="4"/>
  <c r="J9" i="4"/>
  <c r="J8" i="4"/>
  <c r="J7" i="4"/>
  <c r="J6" i="4"/>
  <c r="J5" i="4"/>
  <c r="E12" i="13" l="1"/>
  <c r="E10" i="13"/>
  <c r="F12" i="13"/>
  <c r="F10" i="13"/>
  <c r="O38" i="4"/>
  <c r="H116" i="4"/>
  <c r="R38" i="10"/>
  <c r="O242" i="2"/>
  <c r="E22" i="13"/>
  <c r="D101" i="1"/>
  <c r="E24" i="13"/>
  <c r="O244" i="2"/>
  <c r="D102" i="1"/>
  <c r="O245" i="2"/>
  <c r="E25" i="13"/>
  <c r="D106" i="1"/>
  <c r="E23" i="13"/>
  <c r="O243" i="2"/>
  <c r="D105" i="1"/>
  <c r="D30" i="13"/>
  <c r="D29" i="13"/>
  <c r="V38" i="10"/>
  <c r="U38" i="10"/>
  <c r="S38" i="10"/>
  <c r="Q38" i="10"/>
  <c r="E29" i="13"/>
  <c r="E30" i="13"/>
  <c r="T38" i="10"/>
  <c r="F26" i="13"/>
  <c r="F27" i="13" s="1"/>
  <c r="E104" i="1"/>
  <c r="E76" i="10"/>
  <c r="W45" i="10"/>
  <c r="T45" i="10"/>
  <c r="V45" i="10"/>
  <c r="Q45" i="10"/>
  <c r="R45" i="10"/>
  <c r="U45" i="10"/>
  <c r="S45" i="10"/>
  <c r="G35" i="1"/>
  <c r="M262" i="2"/>
  <c r="M263" i="2" s="1"/>
  <c r="F35" i="1"/>
  <c r="C122" i="1"/>
  <c r="F51" i="4" a="1"/>
  <c r="F51" i="4" s="1"/>
  <c r="G69" i="1"/>
  <c r="G41" i="1"/>
  <c r="G65" i="1" s="1"/>
  <c r="G42" i="1"/>
  <c r="G66" i="1" s="1"/>
  <c r="G40" i="1"/>
  <c r="G63" i="1" s="1"/>
  <c r="G44" i="1"/>
  <c r="G68" i="1" s="1"/>
  <c r="G43" i="1"/>
  <c r="G67" i="1" s="1"/>
  <c r="I50" i="4" a="1"/>
  <c r="I50" i="4" s="1"/>
  <c r="D53" i="4" a="1"/>
  <c r="D53" i="4" s="1"/>
  <c r="G57" i="1"/>
  <c r="G56" i="1"/>
  <c r="G55" i="1"/>
  <c r="G54" i="1"/>
  <c r="H54" i="1"/>
  <c r="H55" i="1"/>
  <c r="H56" i="1"/>
  <c r="H57" i="1"/>
  <c r="E35" i="1"/>
  <c r="L161" i="4"/>
  <c r="E54" i="4" a="1"/>
  <c r="E54" i="4" s="1"/>
  <c r="E122" i="4" s="1"/>
  <c r="I54" i="4" a="1"/>
  <c r="I54" i="4" s="1"/>
  <c r="I122" i="4" s="1"/>
  <c r="J37" i="4"/>
  <c r="F53" i="4" a="1"/>
  <c r="F53" i="4" s="1"/>
  <c r="H50" i="4" a="1"/>
  <c r="H50" i="4" s="1"/>
  <c r="E77" i="4"/>
  <c r="L158" i="4"/>
  <c r="L160" i="4"/>
  <c r="L162" i="4"/>
  <c r="G38" i="4"/>
  <c r="G170" i="4" s="1"/>
  <c r="J32" i="4"/>
  <c r="E52" i="4" a="1"/>
  <c r="E52" i="4" s="1"/>
  <c r="E120" i="4" s="1"/>
  <c r="F170" i="4"/>
  <c r="G210" i="4"/>
  <c r="G218" i="4" s="1"/>
  <c r="Q29" i="2"/>
  <c r="H8" i="13" s="1"/>
  <c r="H15" i="13" s="1"/>
  <c r="R16" i="2"/>
  <c r="O31" i="2"/>
  <c r="O254" i="2" s="1"/>
  <c r="R11" i="2"/>
  <c r="Q28" i="2"/>
  <c r="H7" i="13" s="1"/>
  <c r="H14" i="13" s="1"/>
  <c r="Q14" i="2"/>
  <c r="P27" i="2"/>
  <c r="G6" i="13" s="1"/>
  <c r="G13" i="13" s="1"/>
  <c r="Q10" i="2"/>
  <c r="Q140" i="2" s="1"/>
  <c r="Q139" i="2" s="1"/>
  <c r="P139" i="2" s="1"/>
  <c r="P26" i="2"/>
  <c r="G5" i="13" s="1"/>
  <c r="M31" i="2"/>
  <c r="M254" i="2" s="1"/>
  <c r="M256" i="2" s="1"/>
  <c r="G169" i="4"/>
  <c r="G42" i="4"/>
  <c r="I118" i="4"/>
  <c r="I210" i="4"/>
  <c r="I216" i="4" s="1"/>
  <c r="G50" i="4" a="1"/>
  <c r="G50" i="4" s="1"/>
  <c r="J33" i="4"/>
  <c r="D50" i="4" a="1"/>
  <c r="D50" i="4" s="1"/>
  <c r="D38" i="4"/>
  <c r="J36" i="4"/>
  <c r="H118" i="4"/>
  <c r="E50" i="4" a="1"/>
  <c r="E50" i="4" s="1"/>
  <c r="D51" i="4" a="1"/>
  <c r="D51" i="4" s="1"/>
  <c r="H55" i="4" a="1"/>
  <c r="H55" i="4" s="1"/>
  <c r="H123" i="4" s="1"/>
  <c r="F168" i="4"/>
  <c r="G57" i="4" a="1"/>
  <c r="G57" i="4" s="1"/>
  <c r="G125" i="4" s="1"/>
  <c r="G56" i="4" a="1"/>
  <c r="G56" i="4" s="1"/>
  <c r="G124" i="4" s="1"/>
  <c r="G55" i="4" a="1"/>
  <c r="G55" i="4" s="1"/>
  <c r="G123" i="4" s="1"/>
  <c r="G53" i="4" a="1"/>
  <c r="G53" i="4" s="1"/>
  <c r="G51" i="4" a="1"/>
  <c r="G51" i="4" s="1"/>
  <c r="G119" i="4" s="1"/>
  <c r="K208" i="4"/>
  <c r="H51" i="4" a="1"/>
  <c r="H51" i="4" s="1"/>
  <c r="H119" i="4" s="1"/>
  <c r="G52" i="4" a="1"/>
  <c r="G52" i="4" s="1"/>
  <c r="G120" i="4" s="1"/>
  <c r="D55" i="4" a="1"/>
  <c r="D55" i="4" s="1"/>
  <c r="D57" i="4" a="1"/>
  <c r="D57" i="4" s="1"/>
  <c r="F151" i="4"/>
  <c r="K204" i="4"/>
  <c r="J210" i="4"/>
  <c r="J211" i="4" s="1"/>
  <c r="I218" i="4"/>
  <c r="K206" i="4"/>
  <c r="J31" i="4"/>
  <c r="J35" i="4"/>
  <c r="F52" i="4" a="1"/>
  <c r="F52" i="4" s="1"/>
  <c r="F50" i="4" a="1"/>
  <c r="F50" i="4" s="1"/>
  <c r="E57" i="4" a="1"/>
  <c r="E57" i="4" s="1"/>
  <c r="E125" i="4" s="1"/>
  <c r="E55" i="4" a="1"/>
  <c r="E55" i="4" s="1"/>
  <c r="E123" i="4" s="1"/>
  <c r="E53" i="4" a="1"/>
  <c r="E53" i="4" s="1"/>
  <c r="E121" i="4" s="1"/>
  <c r="E51" i="4" a="1"/>
  <c r="E51" i="4" s="1"/>
  <c r="E119" i="4" s="1"/>
  <c r="E56" i="4" a="1"/>
  <c r="E56" i="4" s="1"/>
  <c r="E124" i="4" s="1"/>
  <c r="E38" i="4"/>
  <c r="I57" i="4" a="1"/>
  <c r="I57" i="4" s="1"/>
  <c r="I125" i="4" s="1"/>
  <c r="I55" i="4" a="1"/>
  <c r="I55" i="4" s="1"/>
  <c r="I123" i="4" s="1"/>
  <c r="I53" i="4" a="1"/>
  <c r="I53" i="4" s="1"/>
  <c r="I121" i="4" s="1"/>
  <c r="I51" i="4" a="1"/>
  <c r="I51" i="4" s="1"/>
  <c r="I119" i="4" s="1"/>
  <c r="I56" i="4" a="1"/>
  <c r="I56" i="4" s="1"/>
  <c r="I124" i="4" s="1"/>
  <c r="I38" i="4"/>
  <c r="J34" i="4"/>
  <c r="I52" i="4" a="1"/>
  <c r="I52" i="4" s="1"/>
  <c r="I120" i="4" s="1"/>
  <c r="H53" i="4" a="1"/>
  <c r="H53" i="4" s="1"/>
  <c r="H121" i="4" s="1"/>
  <c r="G54" i="4" a="1"/>
  <c r="G54" i="4" s="1"/>
  <c r="G122" i="4" s="1"/>
  <c r="F55" i="4" a="1"/>
  <c r="F55" i="4" s="1"/>
  <c r="I214" i="4"/>
  <c r="F56" i="4" a="1"/>
  <c r="F56" i="4" s="1"/>
  <c r="F57" i="4" a="1"/>
  <c r="F57" i="4" s="1"/>
  <c r="I74" i="4"/>
  <c r="O151" i="4"/>
  <c r="F169" i="4"/>
  <c r="G215" i="4"/>
  <c r="G217" i="4"/>
  <c r="D56" i="4" a="1"/>
  <c r="D56" i="4" s="1"/>
  <c r="H56" i="4" a="1"/>
  <c r="H56" i="4" s="1"/>
  <c r="H124" i="4" s="1"/>
  <c r="H38" i="4"/>
  <c r="G216" i="4"/>
  <c r="D52" i="4" a="1"/>
  <c r="D52" i="4" s="1"/>
  <c r="H52" i="4" a="1"/>
  <c r="H52" i="4" s="1"/>
  <c r="H120" i="4" s="1"/>
  <c r="F54" i="4" a="1"/>
  <c r="F54" i="4" s="1"/>
  <c r="H54" i="4" a="1"/>
  <c r="H54" i="4" s="1"/>
  <c r="H122" i="4" s="1"/>
  <c r="H57" i="4" a="1"/>
  <c r="H57" i="4" s="1"/>
  <c r="H125" i="4" s="1"/>
  <c r="H96" i="4"/>
  <c r="H77" i="4"/>
  <c r="F77" i="4"/>
  <c r="K207" i="4"/>
  <c r="G12" i="13" l="1"/>
  <c r="G10" i="13"/>
  <c r="F23" i="13"/>
  <c r="E105" i="1"/>
  <c r="F25" i="13"/>
  <c r="E106" i="1"/>
  <c r="F29" i="13"/>
  <c r="F30" i="13"/>
  <c r="F24" i="13"/>
  <c r="E102" i="1"/>
  <c r="F22" i="13"/>
  <c r="E101" i="1"/>
  <c r="I102" i="10"/>
  <c r="I111" i="10" s="1"/>
  <c r="F111" i="10"/>
  <c r="H111" i="10"/>
  <c r="J111" i="10"/>
  <c r="G111" i="10"/>
  <c r="E111" i="10"/>
  <c r="K111" i="10"/>
  <c r="Q244" i="2"/>
  <c r="H24" i="13" s="1"/>
  <c r="P140" i="2"/>
  <c r="P244" i="2" s="1"/>
  <c r="G24" i="13" s="1"/>
  <c r="Q146" i="2"/>
  <c r="Q246" i="2" s="1"/>
  <c r="H26" i="13" s="1"/>
  <c r="J214" i="4"/>
  <c r="G167" i="4"/>
  <c r="G131" i="4"/>
  <c r="J218" i="4"/>
  <c r="J217" i="4"/>
  <c r="J215" i="4"/>
  <c r="J216" i="4"/>
  <c r="J213" i="4"/>
  <c r="G60" i="1"/>
  <c r="H60" i="1"/>
  <c r="J121" i="4"/>
  <c r="G214" i="4"/>
  <c r="G213" i="4"/>
  <c r="G166" i="4"/>
  <c r="J53" i="4"/>
  <c r="R29" i="2"/>
  <c r="I8" i="13" s="1"/>
  <c r="I15" i="13" s="1"/>
  <c r="S16" i="2"/>
  <c r="P31" i="2"/>
  <c r="P254" i="2" s="1"/>
  <c r="R14" i="2"/>
  <c r="Q27" i="2"/>
  <c r="H6" i="13" s="1"/>
  <c r="H13" i="13" s="1"/>
  <c r="R10" i="2"/>
  <c r="Q26" i="2"/>
  <c r="H5" i="13" s="1"/>
  <c r="S11" i="2"/>
  <c r="R28" i="2"/>
  <c r="I7" i="13" s="1"/>
  <c r="I14" i="13" s="1"/>
  <c r="I167" i="4"/>
  <c r="I168" i="4"/>
  <c r="I166" i="4"/>
  <c r="I169" i="4"/>
  <c r="I131" i="4"/>
  <c r="I42" i="4"/>
  <c r="I170" i="4"/>
  <c r="G118" i="4"/>
  <c r="G58" i="4"/>
  <c r="G91" i="4" s="1" a="1"/>
  <c r="G91" i="4" s="1"/>
  <c r="G97" i="4" s="1"/>
  <c r="H170" i="4"/>
  <c r="H166" i="4"/>
  <c r="H167" i="4"/>
  <c r="H131" i="4"/>
  <c r="H42" i="4"/>
  <c r="H168" i="4"/>
  <c r="H169" i="4"/>
  <c r="I77" i="4"/>
  <c r="I96" i="4"/>
  <c r="K210" i="4"/>
  <c r="K213" i="4" s="1"/>
  <c r="D123" i="4"/>
  <c r="J123" i="4" s="1"/>
  <c r="J55" i="4"/>
  <c r="D42" i="4"/>
  <c r="J38" i="4"/>
  <c r="H39" i="4" s="1"/>
  <c r="I211" i="4"/>
  <c r="I217" i="4"/>
  <c r="I215" i="4"/>
  <c r="J54" i="4"/>
  <c r="D122" i="4"/>
  <c r="J122" i="4" s="1"/>
  <c r="D58" i="4"/>
  <c r="D91" i="4" s="1" a="1"/>
  <c r="D91" i="4" s="1"/>
  <c r="D97" i="4" s="1"/>
  <c r="J50" i="4"/>
  <c r="D118" i="4"/>
  <c r="F58" i="4"/>
  <c r="D119" i="4"/>
  <c r="J119" i="4" s="1"/>
  <c r="J51" i="4"/>
  <c r="H58" i="4"/>
  <c r="H91" i="4" s="1" a="1"/>
  <c r="H91" i="4" s="1"/>
  <c r="H97" i="4" s="1"/>
  <c r="I58" i="4"/>
  <c r="K216" i="4"/>
  <c r="I91" i="4" a="1"/>
  <c r="I91" i="4" s="1"/>
  <c r="I97" i="4" s="1"/>
  <c r="J56" i="4"/>
  <c r="D124" i="4"/>
  <c r="J124" i="4" s="1"/>
  <c r="D120" i="4"/>
  <c r="J120" i="4" s="1"/>
  <c r="J52" i="4"/>
  <c r="E42" i="4"/>
  <c r="D125" i="4"/>
  <c r="J125" i="4" s="1"/>
  <c r="J57" i="4"/>
  <c r="E118" i="4"/>
  <c r="E58" i="4"/>
  <c r="I213" i="4"/>
  <c r="H12" i="13" l="1"/>
  <c r="H10" i="13"/>
  <c r="R140" i="2"/>
  <c r="R139" i="2" s="1"/>
  <c r="R146" i="2" s="1"/>
  <c r="L102" i="10"/>
  <c r="I39" i="4"/>
  <c r="I114" i="4" s="1"/>
  <c r="G171" i="4"/>
  <c r="P146" i="2"/>
  <c r="H22" i="13"/>
  <c r="D50" i="1"/>
  <c r="F102" i="1"/>
  <c r="F112" i="1" s="1"/>
  <c r="G102" i="1"/>
  <c r="G112" i="1" s="1"/>
  <c r="I171" i="4"/>
  <c r="K217" i="4"/>
  <c r="E39" i="4"/>
  <c r="E116" i="4" s="1"/>
  <c r="T16" i="2"/>
  <c r="S29" i="2"/>
  <c r="J8" i="13" s="1"/>
  <c r="J15" i="13" s="1"/>
  <c r="Q31" i="2"/>
  <c r="Q254" i="2" s="1"/>
  <c r="S10" i="2"/>
  <c r="S140" i="2" s="1"/>
  <c r="T230" i="2" s="1"/>
  <c r="U230" i="2" s="1"/>
  <c r="R26" i="2"/>
  <c r="I5" i="13" s="1"/>
  <c r="T11" i="2"/>
  <c r="S28" i="2"/>
  <c r="J7" i="13" s="1"/>
  <c r="J14" i="13" s="1"/>
  <c r="S14" i="2"/>
  <c r="R27" i="2"/>
  <c r="I6" i="13" s="1"/>
  <c r="I13" i="13" s="1"/>
  <c r="J118" i="4"/>
  <c r="F91" i="4"/>
  <c r="F13" i="4"/>
  <c r="G13" i="4"/>
  <c r="F39" i="4"/>
  <c r="I13" i="4"/>
  <c r="D13" i="4"/>
  <c r="H13" i="4"/>
  <c r="E13" i="4"/>
  <c r="G39" i="4"/>
  <c r="K214" i="4"/>
  <c r="K218" i="4"/>
  <c r="J42" i="4"/>
  <c r="J41" i="4" s="1"/>
  <c r="H145" i="4"/>
  <c r="H115" i="4"/>
  <c r="H113" i="4"/>
  <c r="H112" i="4"/>
  <c r="H110" i="4"/>
  <c r="H107" i="4"/>
  <c r="H106" i="4"/>
  <c r="H109" i="4"/>
  <c r="H108" i="4"/>
  <c r="H114" i="4"/>
  <c r="E145" i="4"/>
  <c r="E97" i="4"/>
  <c r="R74" i="10" s="1"/>
  <c r="K215" i="4"/>
  <c r="J58" i="4"/>
  <c r="G59" i="4" s="1"/>
  <c r="D39" i="4"/>
  <c r="H171" i="4"/>
  <c r="R75" i="10" l="1"/>
  <c r="F100" i="10"/>
  <c r="I12" i="13"/>
  <c r="I10" i="13"/>
  <c r="R244" i="2"/>
  <c r="F121" i="10"/>
  <c r="E75" i="13" s="1"/>
  <c r="D90" i="13" s="1"/>
  <c r="E90" i="13" s="1"/>
  <c r="E121" i="10"/>
  <c r="D75" i="13" s="1"/>
  <c r="G121" i="10"/>
  <c r="F75" i="13" s="1"/>
  <c r="D95" i="13" s="1"/>
  <c r="E95" i="13" s="1"/>
  <c r="C59" i="13"/>
  <c r="H121" i="10"/>
  <c r="G75" i="13" s="1"/>
  <c r="K121" i="10"/>
  <c r="J75" i="13" s="1"/>
  <c r="J121" i="10"/>
  <c r="I75" i="13" s="1"/>
  <c r="D105" i="13" s="1"/>
  <c r="E105" i="13" s="1"/>
  <c r="I121" i="10"/>
  <c r="H75" i="13" s="1"/>
  <c r="D100" i="13" s="1"/>
  <c r="E100" i="13" s="1"/>
  <c r="S139" i="2"/>
  <c r="S244" i="2"/>
  <c r="J24" i="13" s="1"/>
  <c r="I107" i="4"/>
  <c r="D56" i="1"/>
  <c r="D54" i="1"/>
  <c r="D55" i="1"/>
  <c r="D57" i="1"/>
  <c r="I116" i="4"/>
  <c r="I145" i="4"/>
  <c r="I109" i="4"/>
  <c r="I112" i="4"/>
  <c r="R242" i="2"/>
  <c r="R246" i="2"/>
  <c r="AA28" i="10" s="1"/>
  <c r="I106" i="4"/>
  <c r="G104" i="1"/>
  <c r="G114" i="1" s="1"/>
  <c r="Q260" i="2"/>
  <c r="G101" i="1"/>
  <c r="Q247" i="2"/>
  <c r="Q265" i="2" s="1"/>
  <c r="E113" i="4"/>
  <c r="I110" i="4"/>
  <c r="G22" i="13"/>
  <c r="P246" i="2"/>
  <c r="Q261" i="2"/>
  <c r="I108" i="4"/>
  <c r="E115" i="4"/>
  <c r="H59" i="4"/>
  <c r="E110" i="4"/>
  <c r="I113" i="4"/>
  <c r="I115" i="4"/>
  <c r="E108" i="4"/>
  <c r="E112" i="4"/>
  <c r="E106" i="4"/>
  <c r="E114" i="4"/>
  <c r="E109" i="4"/>
  <c r="E107" i="4"/>
  <c r="U16" i="2"/>
  <c r="U29" i="2" s="1"/>
  <c r="L8" i="13" s="1"/>
  <c r="T29" i="2"/>
  <c r="K8" i="13" s="1"/>
  <c r="K15" i="13" s="1"/>
  <c r="R31" i="2"/>
  <c r="R254" i="2" s="1"/>
  <c r="U11" i="2"/>
  <c r="U28" i="2" s="1"/>
  <c r="L7" i="13" s="1"/>
  <c r="T28" i="2"/>
  <c r="K7" i="13" s="1"/>
  <c r="K14" i="13" s="1"/>
  <c r="T14" i="2"/>
  <c r="S27" i="2"/>
  <c r="J6" i="13" s="1"/>
  <c r="J13" i="13" s="1"/>
  <c r="T10" i="2"/>
  <c r="S26" i="2"/>
  <c r="J5" i="13" s="1"/>
  <c r="D115" i="4"/>
  <c r="D113" i="4"/>
  <c r="D110" i="4"/>
  <c r="D108" i="4"/>
  <c r="D106" i="4"/>
  <c r="D117" i="4" s="1"/>
  <c r="D116" i="4"/>
  <c r="D109" i="4"/>
  <c r="D145" i="4"/>
  <c r="D107" i="4"/>
  <c r="D112" i="4"/>
  <c r="J39" i="4"/>
  <c r="D114" i="4"/>
  <c r="J13" i="4"/>
  <c r="I59" i="4"/>
  <c r="F59" i="4"/>
  <c r="G116" i="4"/>
  <c r="G114" i="4"/>
  <c r="G112" i="4"/>
  <c r="G109" i="4"/>
  <c r="G107" i="4"/>
  <c r="G145" i="4"/>
  <c r="G106" i="4"/>
  <c r="G113" i="4"/>
  <c r="G108" i="4"/>
  <c r="G115" i="4"/>
  <c r="G110" i="4"/>
  <c r="D59" i="4"/>
  <c r="E59" i="4"/>
  <c r="H117" i="4"/>
  <c r="H126" i="4" s="1"/>
  <c r="H127" i="4" s="1"/>
  <c r="S155" i="13" l="1"/>
  <c r="E157" i="13" s="1"/>
  <c r="J157" i="13" s="1"/>
  <c r="J158" i="13" s="1"/>
  <c r="L100" i="10"/>
  <c r="F119" i="10"/>
  <c r="E73" i="13" s="1"/>
  <c r="D88" i="13" s="1"/>
  <c r="E88" i="13" s="1"/>
  <c r="L14" i="13"/>
  <c r="M14" i="13" s="1"/>
  <c r="N14" i="13" s="1"/>
  <c r="O14" i="13" s="1"/>
  <c r="P14" i="13" s="1"/>
  <c r="Q14" i="13" s="1"/>
  <c r="R14" i="13" s="1"/>
  <c r="S14" i="13" s="1"/>
  <c r="T14" i="13" s="1"/>
  <c r="U14" i="13" s="1"/>
  <c r="V14" i="13" s="1"/>
  <c r="W14" i="13" s="1"/>
  <c r="X14" i="13" s="1"/>
  <c r="Y14" i="13" s="1"/>
  <c r="E146" i="13"/>
  <c r="J12" i="13"/>
  <c r="J10" i="13"/>
  <c r="D85" i="13"/>
  <c r="E85" i="13" s="1"/>
  <c r="I117" i="4"/>
  <c r="I126" i="4" s="1"/>
  <c r="I127" i="4" s="1"/>
  <c r="I138" i="4" s="1"/>
  <c r="AA27" i="10"/>
  <c r="R43" i="10" s="1"/>
  <c r="H102" i="1"/>
  <c r="H112" i="1" s="1"/>
  <c r="D38" i="1"/>
  <c r="D42" i="1" s="1"/>
  <c r="D66" i="1" s="1"/>
  <c r="I24" i="13"/>
  <c r="T229" i="2"/>
  <c r="U229" i="2" s="1"/>
  <c r="S146" i="2"/>
  <c r="L15" i="13"/>
  <c r="M15" i="13" s="1"/>
  <c r="N15" i="13" s="1"/>
  <c r="O15" i="13" s="1"/>
  <c r="P15" i="13" s="1"/>
  <c r="Q15" i="13" s="1"/>
  <c r="R15" i="13" s="1"/>
  <c r="S15" i="13" s="1"/>
  <c r="T15" i="13" s="1"/>
  <c r="U15" i="13" s="1"/>
  <c r="C25" i="13" a="1"/>
  <c r="C25" i="13" s="1"/>
  <c r="E75" i="10"/>
  <c r="R44" i="10"/>
  <c r="T44" i="10"/>
  <c r="Q44" i="10"/>
  <c r="V44" i="10"/>
  <c r="U44" i="10"/>
  <c r="S44" i="10"/>
  <c r="W44" i="10"/>
  <c r="I22" i="13"/>
  <c r="AA26" i="10"/>
  <c r="I26" i="13"/>
  <c r="G26" i="13"/>
  <c r="Q255" i="2"/>
  <c r="Q262" i="2" s="1"/>
  <c r="Q263" i="2" s="1"/>
  <c r="H18" i="13"/>
  <c r="H27" i="13" s="1"/>
  <c r="H30" i="13" s="1"/>
  <c r="G111" i="1"/>
  <c r="G117" i="1" s="1"/>
  <c r="G107" i="1"/>
  <c r="D60" i="1"/>
  <c r="R261" i="2"/>
  <c r="F38" i="1"/>
  <c r="H104" i="1"/>
  <c r="H114" i="1" s="1"/>
  <c r="C38" i="1"/>
  <c r="H101" i="1"/>
  <c r="R260" i="2"/>
  <c r="R247" i="2"/>
  <c r="R265" i="2" s="1"/>
  <c r="F101" i="1"/>
  <c r="P260" i="2"/>
  <c r="P247" i="2"/>
  <c r="P265" i="2" s="1"/>
  <c r="U244" i="2"/>
  <c r="L24" i="13" s="1"/>
  <c r="T244" i="2"/>
  <c r="K24" i="13" s="1"/>
  <c r="F104" i="1"/>
  <c r="F114" i="1" s="1"/>
  <c r="F50" i="1"/>
  <c r="P261" i="2"/>
  <c r="E117" i="4"/>
  <c r="E126" i="4" s="1"/>
  <c r="E127" i="4" s="1"/>
  <c r="E138" i="4" s="1"/>
  <c r="S242" i="2"/>
  <c r="J22" i="13" s="1"/>
  <c r="J116" i="4"/>
  <c r="G117" i="4"/>
  <c r="J109" i="4"/>
  <c r="U14" i="2"/>
  <c r="U27" i="2" s="1"/>
  <c r="L6" i="13" s="1"/>
  <c r="G146" i="13" s="1"/>
  <c r="T27" i="2"/>
  <c r="K6" i="13" s="1"/>
  <c r="K13" i="13" s="1"/>
  <c r="S31" i="2"/>
  <c r="S254" i="2" s="1"/>
  <c r="U10" i="2"/>
  <c r="U26" i="2" s="1"/>
  <c r="L5" i="13" s="1"/>
  <c r="D146" i="13" s="1"/>
  <c r="T26" i="2"/>
  <c r="K5" i="13" s="1"/>
  <c r="J114" i="4"/>
  <c r="J146" i="4" a="1"/>
  <c r="J146" i="4" s="1"/>
  <c r="J147" i="4" a="1"/>
  <c r="J147" i="4" s="1"/>
  <c r="J145" i="4"/>
  <c r="J150" i="4" a="1"/>
  <c r="J150" i="4" s="1"/>
  <c r="N150" i="4" s="1"/>
  <c r="J149" i="4" a="1"/>
  <c r="J149" i="4" s="1"/>
  <c r="N149" i="4" s="1"/>
  <c r="J148" i="4" a="1"/>
  <c r="J148" i="4" s="1"/>
  <c r="N148" i="4" s="1"/>
  <c r="J108" i="4"/>
  <c r="J112" i="4"/>
  <c r="J113" i="4"/>
  <c r="H138" i="4"/>
  <c r="J110" i="4"/>
  <c r="J107" i="4"/>
  <c r="J106" i="4"/>
  <c r="J115" i="4"/>
  <c r="C60" i="13" l="1"/>
  <c r="C61" i="13" s="1"/>
  <c r="E119" i="10"/>
  <c r="D73" i="13" s="1"/>
  <c r="D83" i="13" s="1"/>
  <c r="E83" i="13" s="1"/>
  <c r="G119" i="10"/>
  <c r="F73" i="13" s="1"/>
  <c r="D93" i="13" s="1"/>
  <c r="E93" i="13" s="1"/>
  <c r="H119" i="10"/>
  <c r="G73" i="13" s="1"/>
  <c r="I119" i="10"/>
  <c r="H73" i="13" s="1"/>
  <c r="D98" i="13" s="1"/>
  <c r="E98" i="13" s="1"/>
  <c r="J119" i="10"/>
  <c r="I73" i="13" s="1"/>
  <c r="D103" i="13" s="1"/>
  <c r="E103" i="13" s="1"/>
  <c r="K119" i="10"/>
  <c r="J73" i="13" s="1"/>
  <c r="I157" i="13"/>
  <c r="I158" i="13" s="1"/>
  <c r="E158" i="13"/>
  <c r="K12" i="13"/>
  <c r="K10" i="13"/>
  <c r="L12" i="13"/>
  <c r="M12" i="13" s="1"/>
  <c r="N12" i="13" s="1"/>
  <c r="O12" i="13" s="1"/>
  <c r="P12" i="13" s="1"/>
  <c r="Q12" i="13" s="1"/>
  <c r="R12" i="13" s="1"/>
  <c r="S12" i="13" s="1"/>
  <c r="T12" i="13" s="1"/>
  <c r="U12" i="13" s="1"/>
  <c r="V12" i="13" s="1"/>
  <c r="W12" i="13" s="1"/>
  <c r="X12" i="13" s="1"/>
  <c r="Y12" i="13" s="1"/>
  <c r="L10" i="13"/>
  <c r="C23" i="13" a="1"/>
  <c r="C23" i="13" s="1"/>
  <c r="G126" i="4"/>
  <c r="G127" i="4" s="1"/>
  <c r="G138" i="4" s="1"/>
  <c r="D44" i="1"/>
  <c r="D68" i="1" s="1"/>
  <c r="D69" i="1"/>
  <c r="D43" i="1"/>
  <c r="D67" i="1" s="1"/>
  <c r="D41" i="1"/>
  <c r="D65" i="1" s="1"/>
  <c r="D40" i="1"/>
  <c r="D63" i="1" s="1"/>
  <c r="C24" i="13" a="1"/>
  <c r="C24" i="13" s="1"/>
  <c r="W43" i="10"/>
  <c r="S43" i="10"/>
  <c r="T43" i="10"/>
  <c r="E74" i="10"/>
  <c r="F109" i="10" s="1"/>
  <c r="U43" i="10"/>
  <c r="Q43" i="10"/>
  <c r="V43" i="10"/>
  <c r="H117" i="1"/>
  <c r="H119" i="1" s="1"/>
  <c r="L13" i="13"/>
  <c r="M13" i="13" s="1"/>
  <c r="N13" i="13" s="1"/>
  <c r="O13" i="13" s="1"/>
  <c r="P13" i="13" s="1"/>
  <c r="Q13" i="13" s="1"/>
  <c r="R13" i="13" s="1"/>
  <c r="S13" i="13" s="1"/>
  <c r="T13" i="13" s="1"/>
  <c r="U13" i="13" s="1"/>
  <c r="V13" i="13" s="1"/>
  <c r="W13" i="13" s="1"/>
  <c r="X13" i="13" s="1"/>
  <c r="Y13" i="13" s="1"/>
  <c r="E73" i="10"/>
  <c r="V42" i="10"/>
  <c r="U42" i="10"/>
  <c r="S42" i="10"/>
  <c r="S46" i="10" s="1"/>
  <c r="W42" i="10"/>
  <c r="R42" i="10"/>
  <c r="R46" i="10" s="1"/>
  <c r="R50" i="10" s="1"/>
  <c r="Q42" i="10"/>
  <c r="T42" i="10"/>
  <c r="E110" i="10"/>
  <c r="G110" i="10"/>
  <c r="I110" i="10"/>
  <c r="K110" i="10"/>
  <c r="H110" i="10"/>
  <c r="J110" i="10"/>
  <c r="F110" i="10"/>
  <c r="M131" i="10" s="1"/>
  <c r="M132" i="10" s="1"/>
  <c r="H29" i="13"/>
  <c r="G122" i="1"/>
  <c r="P255" i="2"/>
  <c r="P262" i="2" s="1"/>
  <c r="P263" i="2" s="1"/>
  <c r="G18" i="13"/>
  <c r="G27" i="13" s="1"/>
  <c r="G30" i="13" s="1"/>
  <c r="S246" i="2"/>
  <c r="T236" i="2"/>
  <c r="U236" i="2" s="1"/>
  <c r="R255" i="2"/>
  <c r="R257" i="2" s="1"/>
  <c r="I18" i="13"/>
  <c r="I27" i="13" s="1"/>
  <c r="I30" i="13" s="1"/>
  <c r="Q257" i="2"/>
  <c r="Q256" i="2"/>
  <c r="S260" i="2"/>
  <c r="C57" i="1"/>
  <c r="C56" i="1"/>
  <c r="C54" i="1"/>
  <c r="F55" i="1"/>
  <c r="F56" i="1"/>
  <c r="F57" i="1"/>
  <c r="F54" i="1"/>
  <c r="T246" i="2"/>
  <c r="T242" i="2"/>
  <c r="K22" i="13" s="1"/>
  <c r="H107" i="1"/>
  <c r="C40" i="1"/>
  <c r="C63" i="1" s="1"/>
  <c r="C69" i="1"/>
  <c r="C42" i="1"/>
  <c r="C66" i="1" s="1"/>
  <c r="C44" i="1"/>
  <c r="C68" i="1" s="1"/>
  <c r="C43" i="1"/>
  <c r="C67" i="1" s="1"/>
  <c r="C41" i="1"/>
  <c r="C65" i="1" s="1"/>
  <c r="F111" i="1"/>
  <c r="F117" i="1" s="1"/>
  <c r="F107" i="1"/>
  <c r="F69" i="1"/>
  <c r="F42" i="1"/>
  <c r="F66" i="1" s="1"/>
  <c r="F40" i="1"/>
  <c r="F63" i="1" s="1"/>
  <c r="F44" i="1"/>
  <c r="F68" i="1" s="1"/>
  <c r="F41" i="1"/>
  <c r="F65" i="1" s="1"/>
  <c r="F43" i="1"/>
  <c r="F67" i="1" s="1"/>
  <c r="U31" i="2"/>
  <c r="U254" i="2" s="1"/>
  <c r="T31" i="2"/>
  <c r="T254" i="2" s="1"/>
  <c r="N147" i="4"/>
  <c r="N151" i="4" s="1"/>
  <c r="J151" i="4"/>
  <c r="J117" i="4"/>
  <c r="D126" i="4"/>
  <c r="D127" i="4" s="1"/>
  <c r="D130" i="4" s="1"/>
  <c r="E130" i="4"/>
  <c r="E168" i="4" l="1"/>
  <c r="E186" i="4"/>
  <c r="E189" i="4"/>
  <c r="E188" i="4"/>
  <c r="E185" i="4"/>
  <c r="E187" i="4"/>
  <c r="T46" i="10"/>
  <c r="I109" i="10"/>
  <c r="H109" i="10"/>
  <c r="P256" i="2"/>
  <c r="E109" i="10"/>
  <c r="P257" i="2"/>
  <c r="K109" i="10"/>
  <c r="J109" i="10"/>
  <c r="U46" i="10"/>
  <c r="G109" i="10"/>
  <c r="V46" i="10"/>
  <c r="Q46" i="10"/>
  <c r="R53" i="10" s="1"/>
  <c r="W46" i="10"/>
  <c r="J69" i="1"/>
  <c r="R127" i="10"/>
  <c r="I108" i="10"/>
  <c r="J108" i="10"/>
  <c r="E108" i="10"/>
  <c r="F108" i="10"/>
  <c r="F113" i="10" s="1"/>
  <c r="F114" i="10" s="1"/>
  <c r="S82" i="10" s="1"/>
  <c r="U82" i="10" s="1"/>
  <c r="V82" i="10" s="1"/>
  <c r="H108" i="10"/>
  <c r="G108" i="10"/>
  <c r="K108" i="10"/>
  <c r="D185" i="4"/>
  <c r="C62" i="10" s="1"/>
  <c r="C68" i="10" s="1"/>
  <c r="D189" i="4"/>
  <c r="D187" i="4"/>
  <c r="D188" i="4"/>
  <c r="D186" i="4"/>
  <c r="D62" i="10" s="1"/>
  <c r="I29" i="13"/>
  <c r="S247" i="2"/>
  <c r="S265" i="2" s="1"/>
  <c r="G29" i="13"/>
  <c r="F122" i="1"/>
  <c r="R262" i="2"/>
  <c r="R263" i="2" s="1"/>
  <c r="S261" i="2"/>
  <c r="J26" i="13"/>
  <c r="R256" i="2"/>
  <c r="J57" i="1"/>
  <c r="J66" i="1"/>
  <c r="T261" i="2"/>
  <c r="K26" i="13"/>
  <c r="J56" i="1"/>
  <c r="D131" i="4"/>
  <c r="J131" i="4" s="1"/>
  <c r="D138" i="4"/>
  <c r="H122" i="1"/>
  <c r="U246" i="2"/>
  <c r="U242" i="2"/>
  <c r="L22" i="13" s="1"/>
  <c r="C22" i="13" s="1" a="1"/>
  <c r="C22" i="13" s="1"/>
  <c r="T260" i="2"/>
  <c r="T247" i="2"/>
  <c r="T265" i="2" s="1"/>
  <c r="J65" i="1"/>
  <c r="J67" i="1"/>
  <c r="L67" i="1" s="1"/>
  <c r="C60" i="1"/>
  <c r="J54" i="1"/>
  <c r="J68" i="1"/>
  <c r="F60" i="1"/>
  <c r="J126" i="4"/>
  <c r="E167" i="4"/>
  <c r="E170" i="4"/>
  <c r="E169" i="4"/>
  <c r="E166" i="4"/>
  <c r="E131" i="4"/>
  <c r="E113" i="10" l="1"/>
  <c r="E114" i="10" s="1"/>
  <c r="S85" i="10" s="1"/>
  <c r="U85" i="10" s="1"/>
  <c r="V85" i="10" s="1"/>
  <c r="G113" i="10"/>
  <c r="G114" i="10" s="1"/>
  <c r="J18" i="13"/>
  <c r="J27" i="13" s="1"/>
  <c r="J30" i="13" s="1"/>
  <c r="S255" i="2"/>
  <c r="S262" i="2" s="1"/>
  <c r="S263" i="2" s="1"/>
  <c r="E62" i="10"/>
  <c r="D68" i="10"/>
  <c r="E68" i="10" s="1"/>
  <c r="T255" i="2"/>
  <c r="T257" i="2" s="1"/>
  <c r="K18" i="13"/>
  <c r="K27" i="13" s="1"/>
  <c r="K30" i="13" s="1"/>
  <c r="U261" i="2"/>
  <c r="L26" i="13"/>
  <c r="C26" i="13" s="1" a="1"/>
  <c r="C26" i="13" s="1"/>
  <c r="J71" i="1"/>
  <c r="J60" i="1"/>
  <c r="D169" i="4"/>
  <c r="U247" i="2"/>
  <c r="U260" i="2"/>
  <c r="D35" i="1"/>
  <c r="E171" i="4"/>
  <c r="J132" i="4"/>
  <c r="J127" i="4"/>
  <c r="G132" i="4"/>
  <c r="H132" i="4"/>
  <c r="E132" i="4"/>
  <c r="I132" i="4"/>
  <c r="D132" i="4"/>
  <c r="S257" i="2" l="1"/>
  <c r="S256" i="2"/>
  <c r="G115" i="10"/>
  <c r="S92" i="10" s="1"/>
  <c r="U92" i="10" s="1"/>
  <c r="V92" i="10" s="1"/>
  <c r="T262" i="2"/>
  <c r="T263" i="2" s="1"/>
  <c r="U265" i="2"/>
  <c r="L18" i="13"/>
  <c r="T256" i="2"/>
  <c r="K29" i="13"/>
  <c r="J29" i="13"/>
  <c r="U255" i="2"/>
  <c r="L27" i="13"/>
  <c r="L30" i="13" s="1"/>
  <c r="J40" i="1"/>
  <c r="J44" i="1"/>
  <c r="J42" i="1"/>
  <c r="L42" i="1" s="1"/>
  <c r="J43" i="1"/>
  <c r="J41" i="1"/>
  <c r="J32" i="1"/>
  <c r="J33" i="1"/>
  <c r="J30" i="1"/>
  <c r="J31" i="1"/>
  <c r="J138" i="4"/>
  <c r="J130" i="4"/>
  <c r="D170" i="4"/>
  <c r="J170" i="4" s="1"/>
  <c r="D166" i="4"/>
  <c r="D167" i="4"/>
  <c r="J167" i="4" s="1"/>
  <c r="J169" i="4"/>
  <c r="D168" i="4"/>
  <c r="J168" i="4" s="1"/>
  <c r="J186" i="4" l="1"/>
  <c r="J189" i="4"/>
  <c r="J188" i="4"/>
  <c r="J185" i="4"/>
  <c r="J187" i="4"/>
  <c r="L29" i="13"/>
  <c r="U262" i="2"/>
  <c r="U263" i="2" s="1"/>
  <c r="U256" i="2"/>
  <c r="J46" i="1"/>
  <c r="J29" i="1"/>
  <c r="C35" i="1"/>
  <c r="D171" i="4"/>
  <c r="J171" i="4" s="1"/>
  <c r="J166" i="4"/>
  <c r="J35" i="1" l="1"/>
  <c r="P98" i="2"/>
  <c r="N98" i="2"/>
  <c r="M98" i="2"/>
  <c r="P97" i="2"/>
  <c r="O97" i="2"/>
  <c r="N97" i="2"/>
  <c r="P45" i="2"/>
  <c r="P48" i="2" s="1"/>
  <c r="O45" i="2"/>
  <c r="O48" i="2" s="1"/>
  <c r="N45" i="2"/>
  <c r="N48" i="2" s="1"/>
  <c r="M45" i="2"/>
  <c r="M48" i="2" s="1"/>
  <c r="L45" i="2"/>
  <c r="L48" i="2" s="1"/>
  <c r="K45" i="2"/>
  <c r="K48" i="2" s="1"/>
  <c r="J45" i="2"/>
  <c r="J48" i="2" s="1"/>
  <c r="I45" i="2"/>
  <c r="I48" i="2" s="1"/>
  <c r="H45" i="2"/>
  <c r="H48" i="2" s="1"/>
  <c r="G45" i="2"/>
  <c r="G48" i="2" s="1"/>
  <c r="P56" i="2"/>
  <c r="O56" i="2"/>
  <c r="N56" i="2"/>
  <c r="M56" i="2"/>
  <c r="L56" i="2"/>
  <c r="K56" i="2"/>
  <c r="J56" i="2"/>
  <c r="I56" i="2"/>
  <c r="H56" i="2"/>
  <c r="G56" i="2"/>
  <c r="P52" i="2"/>
  <c r="O52" i="2"/>
  <c r="N52" i="2"/>
  <c r="M52" i="2"/>
  <c r="L52" i="2"/>
  <c r="K52" i="2"/>
  <c r="J52" i="2"/>
  <c r="I52" i="2"/>
  <c r="H52" i="2"/>
  <c r="G52" i="2"/>
  <c r="M58" i="2" l="1"/>
  <c r="M59" i="2" s="1"/>
  <c r="G58" i="2"/>
  <c r="G59" i="2" s="1"/>
  <c r="J58" i="2"/>
  <c r="J59" i="2" s="1"/>
  <c r="N58" i="2"/>
  <c r="N59" i="2" s="1"/>
  <c r="K58" i="2"/>
  <c r="K59" i="2" s="1"/>
  <c r="O58" i="2"/>
  <c r="O59" i="2" s="1"/>
  <c r="H58" i="2"/>
  <c r="H59" i="2" s="1"/>
  <c r="L58" i="2"/>
  <c r="L59" i="2" s="1"/>
  <c r="P58" i="2"/>
  <c r="P59" i="2" s="1"/>
  <c r="I58" i="2"/>
  <c r="I59" i="2" s="1"/>
  <c r="I48" i="40" l="1"/>
  <c r="I52" i="40"/>
  <c r="I43" i="40"/>
  <c r="M52" i="40"/>
  <c r="F65" i="43"/>
  <c r="M48" i="40"/>
  <c r="I49" i="40"/>
  <c r="M49" i="40"/>
  <c r="AB49" i="40"/>
  <c r="AB52" i="40"/>
  <c r="AB43" i="40"/>
  <c r="AB48" i="40"/>
  <c r="I239" i="40" l="1"/>
  <c r="I246" i="40"/>
  <c r="I260" i="40"/>
  <c r="I252" i="40"/>
  <c r="I238" i="40"/>
  <c r="I242" i="40"/>
  <c r="I248" i="40"/>
  <c r="I254" i="40"/>
  <c r="I250" i="40"/>
  <c r="I262" i="40"/>
  <c r="I244" i="40"/>
  <c r="I240" i="4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Bryce McCall</author>
  </authors>
  <commentList>
    <comment ref="AG136" authorId="0" shapeId="0" xr:uid="{C2DABADA-2B6C-4D03-9B18-F4AAE01758B5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Need to get a number for this, and for the Shaft. Assuming 100% iron comes out as steel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Bryce McCall</author>
  </authors>
  <commentList>
    <comment ref="V13" authorId="0" shapeId="0" xr:uid="{00000000-0006-0000-2A00-000001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4" authorId="0" shapeId="0" xr:uid="{00000000-0006-0000-2A00-000002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5" authorId="0" shapeId="0" xr:uid="{00000000-0006-0000-2A00-000003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6" authorId="0" shapeId="0" xr:uid="{00000000-0006-0000-2A00-000004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7" authorId="0" shapeId="0" xr:uid="{00000000-0006-0000-2A00-000005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tc={9EC7A131-159B-4A9D-91E5-4E3FC963E337}</author>
  </authors>
  <commentList>
    <comment ref="G10" authorId="0" shapeId="0" xr:uid="{9EC7A131-159B-4A9D-91E5-4E3FC963E337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https://arcelormittalsa.com/MittalAr09/html/AR_0_24.htm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Guy Cunliffe</author>
  </authors>
  <commentList>
    <comment ref="I14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Vdbp EAFs closed</t>
        </r>
      </text>
    </comment>
    <comment ref="R16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Newcastle relinement; produce 0.6 Mt in 2014</t>
        </r>
      </text>
    </comment>
    <comment ref="Q18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Vereeniging EAF closed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<sst xmlns="http://schemas.openxmlformats.org/spreadsheetml/2006/main" count="9358" uniqueCount="1562">
  <si>
    <t>BFBOF</t>
  </si>
  <si>
    <t>EAF</t>
  </si>
  <si>
    <t>Iron production</t>
  </si>
  <si>
    <t>Total</t>
  </si>
  <si>
    <t>Ingots</t>
  </si>
  <si>
    <t>Production</t>
  </si>
  <si>
    <t>Capacity</t>
  </si>
  <si>
    <t>BF-BOF</t>
  </si>
  <si>
    <t>Scrap-EAF</t>
  </si>
  <si>
    <t>DRI-EAF</t>
  </si>
  <si>
    <t>Other-EAF</t>
  </si>
  <si>
    <t>Coke</t>
  </si>
  <si>
    <t>Coking coal</t>
  </si>
  <si>
    <t>Coal</t>
  </si>
  <si>
    <t>Electricity</t>
  </si>
  <si>
    <t>Pig &amp; Liquid Iron</t>
  </si>
  <si>
    <t>BF</t>
  </si>
  <si>
    <t>EF</t>
  </si>
  <si>
    <t>Other</t>
  </si>
  <si>
    <t>Sub-total</t>
  </si>
  <si>
    <t>DRI</t>
  </si>
  <si>
    <t>Kilns</t>
  </si>
  <si>
    <t>Sum (liquid + DRI)</t>
  </si>
  <si>
    <t>Steel production</t>
  </si>
  <si>
    <t>BOF</t>
  </si>
  <si>
    <t>EAF (incl CONARC)</t>
  </si>
  <si>
    <t>Sub-total (BOF + EAF)</t>
  </si>
  <si>
    <t>Casting</t>
  </si>
  <si>
    <t>Continuous</t>
  </si>
  <si>
    <t>Sub-total (Cast + ingot)</t>
  </si>
  <si>
    <t>Scrap Estimate [?]</t>
  </si>
  <si>
    <t>Total Iron</t>
  </si>
  <si>
    <t>Total Steel</t>
  </si>
  <si>
    <t>Production Data (SAISI, 2016) - compiled by Guy Cunliff</t>
  </si>
  <si>
    <t>ktonnes</t>
  </si>
  <si>
    <t>Pig iron</t>
  </si>
  <si>
    <t>other</t>
  </si>
  <si>
    <t>BUR3 (DEA GHG inventory 2015) - table 4.17</t>
  </si>
  <si>
    <t>FEORE</t>
  </si>
  <si>
    <t>IISELC</t>
  </si>
  <si>
    <t>IISCOA</t>
  </si>
  <si>
    <t>IISSSC</t>
  </si>
  <si>
    <t>IISCRS</t>
  </si>
  <si>
    <t>IISCKE</t>
  </si>
  <si>
    <t>Bottom-up energy intensity</t>
  </si>
  <si>
    <t>Production capacity by plant/route (Mt/yr) [1]</t>
  </si>
  <si>
    <t>Plant location</t>
  </si>
  <si>
    <t>DRI-EAF (coal)</t>
  </si>
  <si>
    <t>DRI-EAF (gas)</t>
  </si>
  <si>
    <t>Conarc-EAF</t>
  </si>
  <si>
    <t>Arcelor Mittal - Vanderbijl Park</t>
  </si>
  <si>
    <t>Arcelor Mittal - Saldanha</t>
  </si>
  <si>
    <t>Arcelor Mittal - Newcastle</t>
  </si>
  <si>
    <t>Arcelor Mittal - Vereeniging</t>
  </si>
  <si>
    <t>Cape Gate - Vanderbijl Park</t>
  </si>
  <si>
    <t>Evraz Highveld - Witbank</t>
  </si>
  <si>
    <t>Other companies in South Africa</t>
  </si>
  <si>
    <t>Total production capacity</t>
  </si>
  <si>
    <t>Shares(%)</t>
  </si>
  <si>
    <t>Assumed operation activity factor in 2006</t>
  </si>
  <si>
    <t>Production by plant/route in 2006 (Mt) [1]</t>
  </si>
  <si>
    <t>Comparison with top-down statistics from SAISI</t>
  </si>
  <si>
    <t xml:space="preserve">Share of production routes </t>
  </si>
  <si>
    <t>2006</t>
  </si>
  <si>
    <t>Total production in 2006 (Mt)</t>
  </si>
  <si>
    <t>Scrap usage share: [2]</t>
  </si>
  <si>
    <t>Calculated scrap ratio in 2006</t>
  </si>
  <si>
    <t>Total scrap input</t>
  </si>
  <si>
    <t>[1] Above capacities are taken from explanations on companies websites. Numbers are rated capacities rather than actual production values</t>
  </si>
  <si>
    <t>[2] Scrap usage by production routes are own estimates. Worrell et al. 2007 states that BAT scrap consumption in the BF-BOF process is 10%</t>
  </si>
  <si>
    <t>Production by product (Mt/yr) [3]</t>
  </si>
  <si>
    <t>Product</t>
  </si>
  <si>
    <t>Assumptions [4]</t>
  </si>
  <si>
    <t>AM-Vanderbijl Park</t>
  </si>
  <si>
    <t>AM-Saldanha</t>
  </si>
  <si>
    <t>Am-Newcastle</t>
  </si>
  <si>
    <t>AM-Vereeniging</t>
  </si>
  <si>
    <t>EH-Witbank</t>
  </si>
  <si>
    <t>CG-Vangerbijl</t>
  </si>
  <si>
    <t>Hot rolled bars</t>
  </si>
  <si>
    <t>Hot rolled strips</t>
  </si>
  <si>
    <t>Hot rolled wires</t>
  </si>
  <si>
    <t>Hot rolled bars with finishing</t>
  </si>
  <si>
    <t>Hot rolled strips with finishing</t>
  </si>
  <si>
    <t>hot rolled wires with finishing</t>
  </si>
  <si>
    <t>Thin slab cast</t>
  </si>
  <si>
    <t>Share</t>
  </si>
  <si>
    <t>[3] Again production by product is taken form data provided on company websites</t>
  </si>
  <si>
    <t>[4] Own estimates based on descriptions on company websites of their product mix &amp; discussions with industry</t>
  </si>
  <si>
    <t>International Best Practise Energy intensity (GJ/t) [5]</t>
  </si>
  <si>
    <t>Material Preparation</t>
  </si>
  <si>
    <t>Sintering</t>
  </si>
  <si>
    <t>Pelletisation</t>
  </si>
  <si>
    <t>Iron making</t>
  </si>
  <si>
    <t>DR furnace (coal)</t>
  </si>
  <si>
    <t>DR furnace (gas)</t>
  </si>
  <si>
    <t>COREX</t>
  </si>
  <si>
    <t>Steelmaking</t>
  </si>
  <si>
    <t>CONARC</t>
  </si>
  <si>
    <t>Refining</t>
  </si>
  <si>
    <t>Subtotal</t>
  </si>
  <si>
    <t>Energy intensity by product</t>
  </si>
  <si>
    <t>Rolling</t>
  </si>
  <si>
    <t>Cold rolling</t>
  </si>
  <si>
    <t>Finishing</t>
  </si>
  <si>
    <t>Hot rolled strip</t>
  </si>
  <si>
    <t>[5] BAT energy intensity values were taken from Worrell et al. 2008</t>
  </si>
  <si>
    <t>Casting and rolling aggregate intensity</t>
  </si>
  <si>
    <t>All products (weighted by production)</t>
  </si>
  <si>
    <t>Summary of intensities by process stage</t>
  </si>
  <si>
    <t>Energy consumption - if all plants were at BAT (PJ/yr)</t>
  </si>
  <si>
    <t>Initial assuption - all plants are at BAT, energy intensity then scaled according to ratio of current E consumption to BAT E Consumption</t>
  </si>
  <si>
    <t>Route Subtotal</t>
  </si>
  <si>
    <t>Casting &amp; rolling</t>
  </si>
  <si>
    <t>Total BAT energy consumption</t>
  </si>
  <si>
    <t>Aggregate energy intensity (GJ/t)</t>
  </si>
  <si>
    <t>Actual energy consumption in 2006 [6]</t>
  </si>
  <si>
    <t>Ratio of current E to BAT</t>
  </si>
  <si>
    <t>Assumed current energy intensity (GJ/t)</t>
  </si>
  <si>
    <t>Share of energy by process route</t>
  </si>
  <si>
    <t>[6] From IEA Energy Balance data</t>
  </si>
  <si>
    <t>For advanced processes</t>
  </si>
  <si>
    <t>Ratio to BAT assumed</t>
  </si>
  <si>
    <t>Advanced Process EI (GJ/t)</t>
  </si>
  <si>
    <t>Fuel Mix</t>
  </si>
  <si>
    <t>Process route</t>
  </si>
  <si>
    <t>Overall</t>
  </si>
  <si>
    <t>Process share in 2006</t>
  </si>
  <si>
    <t>Check overall fuel shares against actual E Balance data</t>
  </si>
  <si>
    <t>Aggregation</t>
  </si>
  <si>
    <t>DOE 2006 [7]</t>
  </si>
  <si>
    <t>DoE 2009</t>
  </si>
  <si>
    <t>Coal and coke</t>
  </si>
  <si>
    <t>Natural gas</t>
  </si>
  <si>
    <t>Oil</t>
  </si>
  <si>
    <t>[7] From the SA DoE Energy balances</t>
  </si>
  <si>
    <t>Fuel mixes based on 'guesstimates'</t>
  </si>
  <si>
    <t>Fuel mix is fixed and same for both conventional and advanced</t>
  </si>
  <si>
    <t>[6/3/2014 Edited fuel shares to better match aggregated shares]</t>
  </si>
  <si>
    <t>Saldanha</t>
  </si>
  <si>
    <t>Overall (GJ/t)</t>
  </si>
  <si>
    <t>Fuel oil</t>
  </si>
  <si>
    <t>Baseline Energy Consumption</t>
  </si>
  <si>
    <t>PJ</t>
  </si>
  <si>
    <t>From arcelor mittal</t>
  </si>
  <si>
    <t>unit</t>
  </si>
  <si>
    <t>conversion factor to GJ</t>
  </si>
  <si>
    <t>Overall process</t>
  </si>
  <si>
    <t>t</t>
  </si>
  <si>
    <t>GJ/t</t>
  </si>
  <si>
    <t>MWh</t>
  </si>
  <si>
    <t>GJ/MWh</t>
  </si>
  <si>
    <t>GJ</t>
  </si>
  <si>
    <t>GJ/GJ</t>
  </si>
  <si>
    <t>LPG</t>
  </si>
  <si>
    <t>Liq fuel</t>
  </si>
  <si>
    <t>m^3</t>
  </si>
  <si>
    <t>GJ/m3</t>
  </si>
  <si>
    <t>DRI_EAF</t>
  </si>
  <si>
    <t>SCR-EAF</t>
  </si>
  <si>
    <t xml:space="preserve">From </t>
  </si>
  <si>
    <t xml:space="preserve">Iron and Steel production data </t>
  </si>
  <si>
    <t>Company</t>
  </si>
  <si>
    <t>Site</t>
  </si>
  <si>
    <t>Iron Making</t>
  </si>
  <si>
    <t>Steel Making</t>
  </si>
  <si>
    <t>Capacity (2012)</t>
  </si>
  <si>
    <t>South Africa</t>
  </si>
  <si>
    <t>ArcelorMittalSA</t>
  </si>
  <si>
    <t>Vanderbijlpark Works</t>
  </si>
  <si>
    <t>IISBFBOF-E</t>
  </si>
  <si>
    <t>DR</t>
  </si>
  <si>
    <t>IISCOREAF-E</t>
  </si>
  <si>
    <t>Corex-Conarc</t>
  </si>
  <si>
    <t>Newcastle Works</t>
  </si>
  <si>
    <t>IISDRIEAF-E</t>
  </si>
  <si>
    <t>DR-EAF</t>
  </si>
  <si>
    <t>Vereeniging</t>
  </si>
  <si>
    <t>(100% Scrap)</t>
  </si>
  <si>
    <t>IISOTHEAF-E</t>
  </si>
  <si>
    <t>Saldanha Works</t>
  </si>
  <si>
    <t>IISSCREAF-E</t>
  </si>
  <si>
    <t xml:space="preserve">Evraz Highveld </t>
  </si>
  <si>
    <t>Mpumalanga</t>
  </si>
  <si>
    <t>Others</t>
  </si>
  <si>
    <t>Data compiled, estimated from company websites, annual reports and SAISI (2016) production data</t>
  </si>
  <si>
    <t xml:space="preserve">Mt </t>
  </si>
  <si>
    <t>SATIM process</t>
  </si>
  <si>
    <t>Summarised</t>
  </si>
  <si>
    <t>Capacity - Mt</t>
  </si>
  <si>
    <t>Mt</t>
  </si>
  <si>
    <t>Other (corex etc.)</t>
  </si>
  <si>
    <t>SATIM code</t>
  </si>
  <si>
    <t>https://arcelormittalsa.com/Whoweare/Operations/SaldanhaWorks/Overview.aspx</t>
  </si>
  <si>
    <t>Corex</t>
  </si>
  <si>
    <t>Ore</t>
  </si>
  <si>
    <t>Liquid iron</t>
  </si>
  <si>
    <t>Flux</t>
  </si>
  <si>
    <t>Corex gas</t>
  </si>
  <si>
    <t>?</t>
  </si>
  <si>
    <t>Midrex DR</t>
  </si>
  <si>
    <t>Gas</t>
  </si>
  <si>
    <t>Pellets</t>
  </si>
  <si>
    <t>Input</t>
  </si>
  <si>
    <t>Output</t>
  </si>
  <si>
    <t>Steel making</t>
  </si>
  <si>
    <t>Steel</t>
  </si>
  <si>
    <t>Mill</t>
  </si>
  <si>
    <t>Output - Mt per year</t>
  </si>
  <si>
    <t>group above into SATIM process routes</t>
  </si>
  <si>
    <t>by W.S. Steinberg*, W. Geyser*, and J. Nell†</t>
  </si>
  <si>
    <t>The history and development of the pyrometallurgical processes at Evraz Highveld Steel &amp; Vanadium</t>
  </si>
  <si>
    <t>Journal of southern africa institute for mining.</t>
  </si>
  <si>
    <t>By Rotary Kiln Electric Furnace (RKEF)</t>
  </si>
  <si>
    <t>Process flow is</t>
  </si>
  <si>
    <t>Production:</t>
  </si>
  <si>
    <t>tonnes/yr of steel</t>
  </si>
  <si>
    <t>3X Basic Oxygen Furnaces @ 70t each</t>
  </si>
  <si>
    <t xml:space="preserve">Figure 1: general overview of the EHSV process flow. </t>
  </si>
  <si>
    <t xml:space="preserve">Open Slag Bath furnaces </t>
  </si>
  <si>
    <t>Iron production:</t>
  </si>
  <si>
    <t>Prereduction kilns</t>
  </si>
  <si>
    <t>Steel production:</t>
  </si>
  <si>
    <t>AMSA</t>
  </si>
  <si>
    <t xml:space="preserve">ArcelorMittalSA </t>
  </si>
  <si>
    <t>Tracking Steel Output, Costs, Energy Use through Annual Reporting</t>
  </si>
  <si>
    <t>Production, Materials and Costs (Nominal Rands)</t>
  </si>
  <si>
    <t>FY</t>
  </si>
  <si>
    <t>Liquid Steel</t>
  </si>
  <si>
    <t>Sales by Market</t>
  </si>
  <si>
    <t>Flat Steel (Vanderbijl + Saldanha)</t>
  </si>
  <si>
    <t>Long Steel (Newcastle + Vereeniging)</t>
  </si>
  <si>
    <t>Materials</t>
  </si>
  <si>
    <t>Energy</t>
  </si>
  <si>
    <t>Water</t>
  </si>
  <si>
    <t xml:space="preserve">Steel Cost Drivers </t>
  </si>
  <si>
    <t>Produced</t>
  </si>
  <si>
    <t>Utilisation</t>
  </si>
  <si>
    <t>Sold</t>
  </si>
  <si>
    <t>Domestic</t>
  </si>
  <si>
    <t>Africa Overland</t>
  </si>
  <si>
    <t>Blue Water exports</t>
  </si>
  <si>
    <t>Vanderbijl
park</t>
  </si>
  <si>
    <t>EBITDA</t>
  </si>
  <si>
    <t>EBITDA / tonne</t>
  </si>
  <si>
    <t>Newcastle</t>
  </si>
  <si>
    <t>Vereen'ng</t>
  </si>
  <si>
    <t>Iron ore</t>
  </si>
  <si>
    <t>Scrap</t>
  </si>
  <si>
    <t>Fluxes</t>
  </si>
  <si>
    <t>Energy Consumed</t>
  </si>
  <si>
    <t>Electricity* (purch'd)</t>
  </si>
  <si>
    <t>Electricity (own gen)</t>
  </si>
  <si>
    <t>Energy Intensity</t>
  </si>
  <si>
    <t>Elec (*) Intensity</t>
  </si>
  <si>
    <t>Iron ore &amp; pellets</t>
  </si>
  <si>
    <t>Scrap / DRI / HBI</t>
  </si>
  <si>
    <t>Coal (imp + local)</t>
  </si>
  <si>
    <t>Other energy +</t>
  </si>
  <si>
    <t>Other materials</t>
  </si>
  <si>
    <t>Other cons'bles</t>
  </si>
  <si>
    <t>Fixed Costs</t>
  </si>
  <si>
    <t>Energy Total</t>
  </si>
  <si>
    <t>Energy as % of Total</t>
  </si>
  <si>
    <t>[kilo-tonnes]</t>
  </si>
  <si>
    <t>%</t>
  </si>
  <si>
    <t>[%]</t>
  </si>
  <si>
    <t>[Rm]</t>
  </si>
  <si>
    <t>[R/t]</t>
  </si>
  <si>
    <t>[tonne]</t>
  </si>
  <si>
    <t>[PJ]</t>
  </si>
  <si>
    <t>[GWh]</t>
  </si>
  <si>
    <t>[GJ / t]</t>
  </si>
  <si>
    <t>[MWh / t]</t>
  </si>
  <si>
    <t>[Mega-litre]</t>
  </si>
  <si>
    <t>[R/t liquid]</t>
  </si>
  <si>
    <t>[% of R/t]</t>
  </si>
  <si>
    <t>Fundamentals (Nominal)</t>
  </si>
  <si>
    <t>Income Statement</t>
  </si>
  <si>
    <t>Financial Position</t>
  </si>
  <si>
    <t>Cashflow</t>
  </si>
  <si>
    <t>Before Tax</t>
  </si>
  <si>
    <t>Comp've</t>
  </si>
  <si>
    <t>Assets</t>
  </si>
  <si>
    <t>Equity</t>
  </si>
  <si>
    <t>Liabilities</t>
  </si>
  <si>
    <t>Δ Cash</t>
  </si>
  <si>
    <t>Cash YE</t>
  </si>
  <si>
    <t>kt prod</t>
  </si>
  <si>
    <t>tonnes</t>
  </si>
  <si>
    <t>GWh</t>
  </si>
  <si>
    <t>Vanderbijl</t>
  </si>
  <si>
    <t xml:space="preserve">Newcastle </t>
  </si>
  <si>
    <t>Vereeninging</t>
  </si>
  <si>
    <t>Vandbijl</t>
  </si>
  <si>
    <t>From arcelors annual integrated report 2018:</t>
  </si>
  <si>
    <t>Vanderbajl park</t>
  </si>
  <si>
    <t>capacity utilisation</t>
  </si>
  <si>
    <t>million tonnes LS</t>
  </si>
  <si>
    <t>inferred capacity</t>
  </si>
  <si>
    <t>Total inferred capacity</t>
  </si>
  <si>
    <t>Weighted capacity factor</t>
  </si>
  <si>
    <t>Total production - Mt per year</t>
  </si>
  <si>
    <t>grouping</t>
  </si>
  <si>
    <t>total production</t>
  </si>
  <si>
    <t>for South Africa entries:</t>
  </si>
  <si>
    <t>They mothballed EAF in 2016</t>
  </si>
  <si>
    <t>My own inputs</t>
  </si>
  <si>
    <t>Mt pa</t>
  </si>
  <si>
    <t>AMSA closing the plant and putting into long term care</t>
  </si>
  <si>
    <t>% Capacity</t>
  </si>
  <si>
    <t>Assuming 2019 and 2020 similar and similar to last year.</t>
  </si>
  <si>
    <t xml:space="preserve">Then: </t>
  </si>
  <si>
    <t>This is inferred from total production (World steel) minus AMSA.</t>
  </si>
  <si>
    <t>Total capacity</t>
  </si>
  <si>
    <t>Toal production</t>
  </si>
  <si>
    <t>Steel produced by</t>
  </si>
  <si>
    <t>Some indicators</t>
  </si>
  <si>
    <t>AMSA share</t>
  </si>
  <si>
    <t>% of produced</t>
  </si>
  <si>
    <t>Summarised production</t>
  </si>
  <si>
    <t>Million tonnes crude steel (from 2016 report)</t>
  </si>
  <si>
    <t>Assumptions for 2015</t>
  </si>
  <si>
    <t>Biomass</t>
  </si>
  <si>
    <t>Crude Oil</t>
  </si>
  <si>
    <t>Diesel</t>
  </si>
  <si>
    <t>Paraffin</t>
  </si>
  <si>
    <t>Petrol</t>
  </si>
  <si>
    <t>HFO</t>
  </si>
  <si>
    <t>Jet Fuel</t>
  </si>
  <si>
    <t>I&amp;S</t>
  </si>
  <si>
    <t>TJ</t>
  </si>
  <si>
    <t>input</t>
  </si>
  <si>
    <t>irone ore</t>
  </si>
  <si>
    <t>kg/t hm</t>
  </si>
  <si>
    <t>hm = hot metal</t>
  </si>
  <si>
    <t>coke</t>
  </si>
  <si>
    <t>kg/t hm avg.</t>
  </si>
  <si>
    <t xml:space="preserve">injected coal </t>
  </si>
  <si>
    <t>air</t>
  </si>
  <si>
    <t>Nm3/t hm</t>
  </si>
  <si>
    <t>output</t>
  </si>
  <si>
    <t>hot metal</t>
  </si>
  <si>
    <t>t/day</t>
  </si>
  <si>
    <t>slag</t>
  </si>
  <si>
    <t>kg/t</t>
  </si>
  <si>
    <t>Taken from notes from Coke and coal course in March 2019 with Fossil Fuel Foundation in JHB.</t>
  </si>
  <si>
    <t xml:space="preserve">From Hannes Kruger's slides on coke. </t>
  </si>
  <si>
    <t>A blast furnace:</t>
  </si>
  <si>
    <t>Ore in</t>
  </si>
  <si>
    <t>Guy Cunliff and derived from company annual reports and websites</t>
  </si>
  <si>
    <t>kWh/t</t>
  </si>
  <si>
    <t>kg/t ore</t>
  </si>
  <si>
    <t>OSB furnace characteristics:</t>
  </si>
  <si>
    <t>Million tonnes crude steel (from 2015 report)</t>
  </si>
  <si>
    <t>Million tonnes crude steel (from 2019 report)</t>
  </si>
  <si>
    <t>World Steel Association - steel in figures report series</t>
  </si>
  <si>
    <t>Iron and Steel production data excel file</t>
  </si>
  <si>
    <t>by Guy Cunliff:</t>
  </si>
  <si>
    <t>Assumptions -&gt;</t>
  </si>
  <si>
    <t>Arcelor Mittal sus. Report</t>
  </si>
  <si>
    <t>DTI presentation has 60 to 65%. TIPS steel brief has Utilisation at 50% in 2020 owing to COVID and general downturn.</t>
  </si>
  <si>
    <t>CO2 (kt/PJ)</t>
  </si>
  <si>
    <t>Used HFO</t>
  </si>
  <si>
    <t>EMISSIONS</t>
  </si>
  <si>
    <t>ENERGY</t>
  </si>
  <si>
    <t>Energy Balance - from SATIM 2012 EB</t>
  </si>
  <si>
    <t>Technology Energy Intensities</t>
  </si>
  <si>
    <t>subtotal</t>
  </si>
  <si>
    <t>PJ energy used:</t>
  </si>
  <si>
    <t>CO2</t>
  </si>
  <si>
    <t>tCO2/tonne</t>
  </si>
  <si>
    <t>Basic oxygen furnace</t>
  </si>
  <si>
    <t>Electric arc furnace</t>
  </si>
  <si>
    <t>Open hearth furnace</t>
  </si>
  <si>
    <t>Pig iron production</t>
  </si>
  <si>
    <t>Direct reduced iron</t>
  </si>
  <si>
    <t>Sinter</t>
  </si>
  <si>
    <t>Pellet</t>
  </si>
  <si>
    <t>Emissions Factors from SA NIR 2017</t>
  </si>
  <si>
    <t>NG</t>
  </si>
  <si>
    <t>Elec</t>
  </si>
  <si>
    <t>Other Bitumous</t>
  </si>
  <si>
    <t>Emissions factors fuel/energy combustion - from IPCC</t>
  </si>
  <si>
    <t>Combined into process routes:</t>
  </si>
  <si>
    <t>Notes:</t>
  </si>
  <si>
    <t>COREX is like an efficient blast furnace</t>
  </si>
  <si>
    <t>Midrex</t>
  </si>
  <si>
    <t>Corex+Midrex</t>
  </si>
  <si>
    <t>Conarc</t>
  </si>
  <si>
    <t>Saldanha combination</t>
  </si>
  <si>
    <t>t CO2/tonne output</t>
  </si>
  <si>
    <t>Mt CO2</t>
  </si>
  <si>
    <t>Production - Mt</t>
  </si>
  <si>
    <t>Emissions</t>
  </si>
  <si>
    <t>Compare to NIR:</t>
  </si>
  <si>
    <t>Compare to NIR</t>
  </si>
  <si>
    <t>kt CO2</t>
  </si>
  <si>
    <t>Intensity t CO2/t steel</t>
  </si>
  <si>
    <t>Here</t>
  </si>
  <si>
    <t>NIR</t>
  </si>
  <si>
    <t>Total steel - tonnes</t>
  </si>
  <si>
    <t>assumption</t>
  </si>
  <si>
    <t>Total here</t>
  </si>
  <si>
    <t>co2/t LS</t>
  </si>
  <si>
    <t>total CO2</t>
  </si>
  <si>
    <t>Scope 1 + 2</t>
  </si>
  <si>
    <t>mt steel produced</t>
  </si>
  <si>
    <t>Scope 1 - direct</t>
  </si>
  <si>
    <t>mt CO2 direct</t>
  </si>
  <si>
    <t>then:</t>
  </si>
  <si>
    <t>mt CO2</t>
  </si>
  <si>
    <t>Total emissions</t>
  </si>
  <si>
    <t>Hearth</t>
  </si>
  <si>
    <t>Overall intensity</t>
  </si>
  <si>
    <t>tonnes/ tonne output</t>
  </si>
  <si>
    <t>Tamaryn Napp</t>
  </si>
  <si>
    <t>GJ/tonne</t>
  </si>
  <si>
    <t>Mt produced</t>
  </si>
  <si>
    <t>total:</t>
  </si>
  <si>
    <t>Energy consumption PJ</t>
  </si>
  <si>
    <t>From AMSA IAR 2018</t>
  </si>
  <si>
    <t>Commercial coke production</t>
  </si>
  <si>
    <t>Capacity:</t>
  </si>
  <si>
    <t>tonnes per annum</t>
  </si>
  <si>
    <t>Revenue</t>
  </si>
  <si>
    <t>bRand</t>
  </si>
  <si>
    <t>Comment</t>
  </si>
  <si>
    <t>Market coke:</t>
  </si>
  <si>
    <t>kt</t>
  </si>
  <si>
    <t>pg 9</t>
  </si>
  <si>
    <t xml:space="preserve">It's not clear if this is all for sale or it's the total production for own use and sale. </t>
  </si>
  <si>
    <t xml:space="preserve">But given that the max capacity of the facility is 220000, it's safe to assume this is alll production in their facilities. </t>
  </si>
  <si>
    <t>estimated PJ production</t>
  </si>
  <si>
    <t xml:space="preserve">Mettalurgical coal </t>
  </si>
  <si>
    <t>MJ/kg</t>
  </si>
  <si>
    <t>TWh</t>
  </si>
  <si>
    <t>LPG usage:</t>
  </si>
  <si>
    <t>reduction in 2011 relative to 2010</t>
  </si>
  <si>
    <t>tonnes HRC in 2011</t>
  </si>
  <si>
    <t>kWh/kg LPG</t>
  </si>
  <si>
    <t>kg LPG per tonne of hot rolled coil saved</t>
  </si>
  <si>
    <t>MWh of LPG</t>
  </si>
  <si>
    <t>kg total LPG</t>
  </si>
  <si>
    <t>"Introduction and Implementation of an Energy Management System and Energy Systems Optimization - Saldanha works"</t>
  </si>
  <si>
    <t>Calculations:</t>
  </si>
  <si>
    <t>http://ncpc.co.za/files/CaseStudies/EnMS_2013_ArcelorMittal_Suldanah_Works_CS.pdf</t>
  </si>
  <si>
    <t>From Eberhard 2011 coal paper:</t>
  </si>
  <si>
    <t xml:space="preserve">Grooteluk supplies 1.5Mt mett. Coal to Saldanha and local market, and </t>
  </si>
  <si>
    <t>2.7Mt of semi-soft coking coal is railed to Vanderbyjl for AMSA</t>
  </si>
  <si>
    <t>Table 7:</t>
  </si>
  <si>
    <t>Bitumous coking</t>
  </si>
  <si>
    <t>Local sales</t>
  </si>
  <si>
    <t>CAEC: BF-BOF</t>
  </si>
  <si>
    <t>Coal Bituminous</t>
  </si>
  <si>
    <t>Petroleum Coke</t>
  </si>
  <si>
    <t>Natural Gas</t>
  </si>
  <si>
    <t>From: DOE industry footprint study</t>
  </si>
  <si>
    <t>Guy Cunliffe</t>
  </si>
  <si>
    <t>GJ/t intensity</t>
  </si>
  <si>
    <t>CAEC: DR-EAF</t>
  </si>
  <si>
    <t>Scrap - EAF</t>
  </si>
  <si>
    <t>Summarised:</t>
  </si>
  <si>
    <t>SCRAP-EAF</t>
  </si>
  <si>
    <t>pg 3:</t>
  </si>
  <si>
    <t>Read somewhere else that market coke is for the chrome people</t>
  </si>
  <si>
    <t>From AMSA PPP progress report submission, from CER website</t>
  </si>
  <si>
    <t>t CO2eq</t>
  </si>
  <si>
    <t>Coke making</t>
  </si>
  <si>
    <t xml:space="preserve">1.A.2.a </t>
  </si>
  <si>
    <t>1.A.c.i</t>
  </si>
  <si>
    <t>Downstream I&amp;S</t>
  </si>
  <si>
    <t>used 0.52 tCO2eq/t coke</t>
  </si>
  <si>
    <t>2.C1</t>
  </si>
  <si>
    <t>for 2017</t>
  </si>
  <si>
    <t>t coke produced</t>
  </si>
  <si>
    <t xml:space="preserve">TJ produced </t>
  </si>
  <si>
    <t>From SUT table:</t>
  </si>
  <si>
    <t>Million rand on coal and lignite imports in 2017</t>
  </si>
  <si>
    <t>From AMSA IAR 2017</t>
  </si>
  <si>
    <t>tonnes per annum of commercial coke</t>
  </si>
  <si>
    <t>production:</t>
  </si>
  <si>
    <t>tonnes of commerical coke</t>
  </si>
  <si>
    <t>Billion Rand</t>
  </si>
  <si>
    <t>R/t</t>
  </si>
  <si>
    <t>Electric Arc Furnace (EAF)</t>
  </si>
  <si>
    <t>Vogl paper</t>
  </si>
  <si>
    <t>MWh/t output</t>
  </si>
  <si>
    <t>From: Value added long steel products at MSSA Newcastle, Scholtz, 2006</t>
  </si>
  <si>
    <t>Coke at Newcastle:</t>
  </si>
  <si>
    <t>Mt capacity</t>
  </si>
  <si>
    <t xml:space="preserve">Imported </t>
  </si>
  <si>
    <t>Local</t>
  </si>
  <si>
    <t>Medium coke</t>
  </si>
  <si>
    <t>kg/ tonne of hot-metal</t>
  </si>
  <si>
    <t>Consumption in the BF</t>
  </si>
  <si>
    <t>total MJ</t>
  </si>
  <si>
    <t>MJ/t hot metal</t>
  </si>
  <si>
    <t>BF production</t>
  </si>
  <si>
    <t xml:space="preserve">Mt hot metal per year approximately. </t>
  </si>
  <si>
    <t>2X BFs</t>
  </si>
  <si>
    <t>3X BOF's</t>
  </si>
  <si>
    <t>3X EAF's</t>
  </si>
  <si>
    <t>1 X BF</t>
  </si>
  <si>
    <t>total</t>
  </si>
  <si>
    <t>MJ/t</t>
  </si>
  <si>
    <t>Newcastle paper</t>
  </si>
  <si>
    <t>Japan BF</t>
  </si>
  <si>
    <t>Tamaryn</t>
  </si>
  <si>
    <t>bryce:</t>
  </si>
  <si>
    <t>energy intensity</t>
  </si>
  <si>
    <t>AMSA Integrated Report 2018</t>
  </si>
  <si>
    <t>2017 report</t>
  </si>
  <si>
    <t>per tonne</t>
  </si>
  <si>
    <t>Cash Cost of steel:</t>
  </si>
  <si>
    <t>Blast furnace total fuel consumption:</t>
  </si>
  <si>
    <t>kg/t hot metal</t>
  </si>
  <si>
    <t>Ratio of coal to coke for long products</t>
  </si>
  <si>
    <t>Coal and coke comparison for BF - MJ/t</t>
  </si>
  <si>
    <t>Long steel</t>
  </si>
  <si>
    <t>Flat product</t>
  </si>
  <si>
    <t>Coal and coke usage in Blast furnaces</t>
  </si>
  <si>
    <t>coal/coke</t>
  </si>
  <si>
    <t xml:space="preserve">compare to AMSA IAR </t>
  </si>
  <si>
    <t>6X kilns</t>
  </si>
  <si>
    <t>Capacity max Mt</t>
  </si>
  <si>
    <t>Residual Capacity - Mt</t>
  </si>
  <si>
    <t>Assumptions on lifespan --&gt;</t>
  </si>
  <si>
    <t>Scrap Ratio</t>
  </si>
  <si>
    <t>Activity - fixed  bound</t>
  </si>
  <si>
    <t>Scrap ratio</t>
  </si>
  <si>
    <t>Inferred based on total</t>
  </si>
  <si>
    <t>For input</t>
  </si>
  <si>
    <t>Lower</t>
  </si>
  <si>
    <t>Upper</t>
  </si>
  <si>
    <t>Evraz is special. Combination of kiln with BOF/EAF</t>
  </si>
  <si>
    <t>tCO2/tonne output</t>
  </si>
  <si>
    <t>Corex efficiency over typical BF</t>
  </si>
  <si>
    <t>Emissions values</t>
  </si>
  <si>
    <t>IISBFBOF-N</t>
  </si>
  <si>
    <t>IISDRIEAF-NC</t>
  </si>
  <si>
    <t>IISDRIEAF-NG</t>
  </si>
  <si>
    <t>IISSCREAF-N</t>
  </si>
  <si>
    <t>PJ/Mt</t>
  </si>
  <si>
    <t>Mt production</t>
  </si>
  <si>
    <t>kg per tonne hot metal</t>
  </si>
  <si>
    <t>Chrome</t>
  </si>
  <si>
    <t>ESKOM SALES</t>
  </si>
  <si>
    <t>Conarc:</t>
  </si>
  <si>
    <t>CON</t>
  </si>
  <si>
    <t>by production</t>
  </si>
  <si>
    <t>Mett.</t>
  </si>
  <si>
    <t>Mt 2017</t>
  </si>
  <si>
    <t>Coal numbers from Xavier</t>
  </si>
  <si>
    <t>Xavier</t>
  </si>
  <si>
    <t>My chrome</t>
  </si>
  <si>
    <t>Energy intensity GJ/t</t>
  </si>
  <si>
    <t>INDICATORS</t>
  </si>
  <si>
    <t>ESKOM</t>
  </si>
  <si>
    <t>Total consumption - PJ</t>
  </si>
  <si>
    <t>Xavier "Steel"</t>
  </si>
  <si>
    <t>Xavier "Mettalurgical"</t>
  </si>
  <si>
    <t>Calibrate to this</t>
  </si>
  <si>
    <t>Coke produced</t>
  </si>
  <si>
    <t>Source</t>
  </si>
  <si>
    <t>high quality coking coal</t>
  </si>
  <si>
    <t>From Grooteluk</t>
  </si>
  <si>
    <t>GHG emissions submission</t>
  </si>
  <si>
    <t>Coke consumed</t>
  </si>
  <si>
    <t>Tamaryn's</t>
  </si>
  <si>
    <t>Guy's</t>
  </si>
  <si>
    <t>Mettalurgical</t>
  </si>
  <si>
    <t>Bryce:</t>
  </si>
  <si>
    <t>Best Available Technology - Worrel - From Napp worksheet on itensity</t>
  </si>
  <si>
    <t>purchased</t>
  </si>
  <si>
    <t>Generated</t>
  </si>
  <si>
    <t>Grid - AMSA</t>
  </si>
  <si>
    <t>total to grid</t>
  </si>
  <si>
    <t>Here are the final intensity numbers used.</t>
  </si>
  <si>
    <t>AMSA IAR 2018</t>
  </si>
  <si>
    <t>Total - AMSA</t>
  </si>
  <si>
    <t>est. scrap from here</t>
  </si>
  <si>
    <t>Eskom sales</t>
  </si>
  <si>
    <t>incorp 9% own gen</t>
  </si>
  <si>
    <t>across company</t>
  </si>
  <si>
    <t xml:space="preserve">if excluding saldanha. Because their works are already integrating off-gases for DRI. </t>
  </si>
  <si>
    <t xml:space="preserve">Saldanha has a 50/50 BOF/EAF, so some energy is saved. Hence me using similar to BFBOF </t>
  </si>
  <si>
    <t>TJ of LPG for Saldanha</t>
  </si>
  <si>
    <t>For model input</t>
  </si>
  <si>
    <t xml:space="preserve">FLO FUNC </t>
  </si>
  <si>
    <t>FLO SHAR</t>
  </si>
  <si>
    <t>Fuel mix shares</t>
  </si>
  <si>
    <t>IISGAS</t>
  </si>
  <si>
    <t>LO</t>
  </si>
  <si>
    <t>UP</t>
  </si>
  <si>
    <t>IISOLP</t>
  </si>
  <si>
    <t>Calc process emissions</t>
  </si>
  <si>
    <t>kt CO2eq</t>
  </si>
  <si>
    <t>PJ coke</t>
  </si>
  <si>
    <t>"01 10 2011"</t>
  </si>
  <si>
    <t>From the Fukuyama no 5 BF (Japan)</t>
  </si>
  <si>
    <t>kg LPG saved</t>
  </si>
  <si>
    <t>https://www.argusmedia.com/en/news/2121129-south-africa-bans-scrap-metal-exports-for-2-months</t>
  </si>
  <si>
    <t xml:space="preserve">512kt </t>
  </si>
  <si>
    <t>exported ferrous and steel scrap in 2019</t>
  </si>
  <si>
    <t>Share of production</t>
  </si>
  <si>
    <t>% BOF</t>
  </si>
  <si>
    <t>Million tonnes</t>
  </si>
  <si>
    <t>Total iron</t>
  </si>
  <si>
    <t>calc.</t>
  </si>
  <si>
    <t>Flat steel</t>
  </si>
  <si>
    <t>(2018 report)</t>
  </si>
  <si>
    <t>EVRAZ capacity is still there since 2016's shutdown, but they're not producing steel. They're milling stuff from Newcastle</t>
  </si>
  <si>
    <t>Steel split</t>
  </si>
  <si>
    <t>So total crude steel production is then</t>
  </si>
  <si>
    <t>Bryce: from AMSA overviews</t>
  </si>
  <si>
    <t>Went out of business.</t>
  </si>
  <si>
    <t xml:space="preserve">EVRAZ facilities have been milling steel produced from newcastle, but not producign new steel. </t>
  </si>
  <si>
    <t>Combined</t>
  </si>
  <si>
    <t>Cisco cape town</t>
  </si>
  <si>
    <t>kt/year</t>
  </si>
  <si>
    <t>SA metal in cape town</t>
  </si>
  <si>
    <t>SCAW Germiston</t>
  </si>
  <si>
    <t>Cape Gate</t>
  </si>
  <si>
    <t>see note here:</t>
  </si>
  <si>
    <t>World steel minus the Saldanha value</t>
  </si>
  <si>
    <t>calc</t>
  </si>
  <si>
    <t>Total VNBL minus DR at VNBL</t>
  </si>
  <si>
    <t>Unclear. See note:</t>
  </si>
  <si>
    <t>STEEL - Known output of crude steel</t>
  </si>
  <si>
    <t>Total Pig iron</t>
  </si>
  <si>
    <t>Total DR iron</t>
  </si>
  <si>
    <t>source</t>
  </si>
  <si>
    <t>IRON - outputs based on calcs.</t>
  </si>
  <si>
    <t>IRON - calibration adjustments</t>
  </si>
  <si>
    <t>to get to the WS number</t>
  </si>
  <si>
    <t>Summary of calcs:</t>
  </si>
  <si>
    <t>Total EAF</t>
  </si>
  <si>
    <t>Total BOF</t>
  </si>
  <si>
    <t>as proportion of Corex</t>
  </si>
  <si>
    <t>as proportion of Midrex</t>
  </si>
  <si>
    <t>STEEL - calibration adjustments</t>
  </si>
  <si>
    <t>%BOF</t>
  </si>
  <si>
    <t>%EAF</t>
  </si>
  <si>
    <t>AMSA production</t>
  </si>
  <si>
    <t>Total STEEL</t>
  </si>
  <si>
    <t>Breakdown</t>
  </si>
  <si>
    <t>Total IRON</t>
  </si>
  <si>
    <t>Difference - assume it's all scrap EAF</t>
  </si>
  <si>
    <t>tier 1</t>
  </si>
  <si>
    <t>From CER website: AMSA submission</t>
  </si>
  <si>
    <t>2C1</t>
  </si>
  <si>
    <t>kt CO2/PJ</t>
  </si>
  <si>
    <t>https://www.focus-economics.com/commodities/energy/coking-coal</t>
  </si>
  <si>
    <t>2015  </t>
  </si>
  <si>
    <t>2016  </t>
  </si>
  <si>
    <t>2017  </t>
  </si>
  <si>
    <t>2018  </t>
  </si>
  <si>
    <t>2019  </t>
  </si>
  <si>
    <t>Coking Coal</t>
  </si>
  <si>
    <t>88.38  </t>
  </si>
  <si>
    <t>142.7  </t>
  </si>
  <si>
    <t>188.92  </t>
  </si>
  <si>
    <t>207.39  </t>
  </si>
  <si>
    <t>USD/t</t>
  </si>
  <si>
    <t>accessed nov 2020</t>
  </si>
  <si>
    <t>R/GJ</t>
  </si>
  <si>
    <t>https://arcelormittalsa.com/Portals/0/mittal_060725_v9.pdf</t>
  </si>
  <si>
    <t>AMSA 'Financial results ending June 2019' report</t>
  </si>
  <si>
    <t>Blast furnace D at vanderbajl relinned in 2007</t>
  </si>
  <si>
    <t>https://www.arcelormittalsa.com/Portals/0/mittal_steel_eng1.pdf</t>
  </si>
  <si>
    <t>6months to june 2006</t>
  </si>
  <si>
    <t>coking coal</t>
  </si>
  <si>
    <t>Operating costs</t>
  </si>
  <si>
    <t>Currency</t>
  </si>
  <si>
    <t>ZAR</t>
  </si>
  <si>
    <t>Year</t>
  </si>
  <si>
    <t>Unit</t>
  </si>
  <si>
    <t>Price</t>
  </si>
  <si>
    <t>CUR</t>
  </si>
  <si>
    <t>year</t>
  </si>
  <si>
    <t>Multiplier</t>
  </si>
  <si>
    <t>$/Unit</t>
  </si>
  <si>
    <t>CUR/unit</t>
  </si>
  <si>
    <t>$/t</t>
  </si>
  <si>
    <t>USD</t>
  </si>
  <si>
    <t>http://www.steelonthenet.com</t>
  </si>
  <si>
    <t>Iron ore for pellets</t>
  </si>
  <si>
    <t>Appendix f</t>
  </si>
  <si>
    <t>Steel scrap</t>
  </si>
  <si>
    <t>Oxygen</t>
  </si>
  <si>
    <t>$/m3</t>
  </si>
  <si>
    <t>Binder (pellets)</t>
  </si>
  <si>
    <t>Dolomite/lime</t>
  </si>
  <si>
    <t>Ferroalloys</t>
  </si>
  <si>
    <t>Misc. additives to EAF</t>
  </si>
  <si>
    <t>Electrodes</t>
  </si>
  <si>
    <t>Refractories</t>
  </si>
  <si>
    <t>Transport costs</t>
  </si>
  <si>
    <t>Iron ore transport</t>
  </si>
  <si>
    <t>Steel scrap transport</t>
  </si>
  <si>
    <t>Coal transport</t>
  </si>
  <si>
    <t>Other costs</t>
  </si>
  <si>
    <t>Labour</t>
  </si>
  <si>
    <t>$/man hr</t>
  </si>
  <si>
    <t>Capital charge</t>
  </si>
  <si>
    <t>General</t>
  </si>
  <si>
    <t>-</t>
  </si>
  <si>
    <t>By-product credits</t>
  </si>
  <si>
    <t>BF-BOF Process route</t>
  </si>
  <si>
    <t>Scale factor</t>
  </si>
  <si>
    <t>Source/comments</t>
  </si>
  <si>
    <t>Factor</t>
  </si>
  <si>
    <t>Cost (ZAR/t)</t>
  </si>
  <si>
    <t>Material costs</t>
  </si>
  <si>
    <t>Use factor</t>
  </si>
  <si>
    <t>t/t</t>
  </si>
  <si>
    <t>http://www.steelonthenet.com/cost-bof.html</t>
  </si>
  <si>
    <t>Transport factor</t>
  </si>
  <si>
    <t>m3/t</t>
  </si>
  <si>
    <t>man hr/t</t>
  </si>
  <si>
    <t>Depreciation?</t>
  </si>
  <si>
    <t>Interest?</t>
  </si>
  <si>
    <t>Capital charges?</t>
  </si>
  <si>
    <t>DRI-EAF Process route</t>
  </si>
  <si>
    <t>100% DRI charge to EAF, 1.0 wt% C. Appendix f</t>
  </si>
  <si>
    <t>Cost</t>
  </si>
  <si>
    <t>SCR-EAF Process route</t>
  </si>
  <si>
    <t>http://www.steelonthenet.com/cost-eaf.html</t>
  </si>
  <si>
    <t>OTH-EAF Process route</t>
  </si>
  <si>
    <t>OTH-EAF</t>
  </si>
  <si>
    <t>Based on ITmk3 Process in Appendix f, pg 3</t>
  </si>
  <si>
    <t>Process routes summary</t>
  </si>
  <si>
    <t>Unit Prices</t>
  </si>
  <si>
    <t>ZAR 2010/unit</t>
  </si>
  <si>
    <t>Includes iron ore cost + transport</t>
  </si>
  <si>
    <t>Total opex (2010ZAR/t)</t>
  </si>
  <si>
    <t>2015ZAR/tonne</t>
  </si>
  <si>
    <t xml:space="preserve">1 2010 ZAR = </t>
  </si>
  <si>
    <t>2015 ZAR</t>
  </si>
  <si>
    <t>less iron ore</t>
  </si>
  <si>
    <t>Updated to 2015 ZAR and exlucding iron ore cost</t>
  </si>
  <si>
    <t>COSTS</t>
  </si>
  <si>
    <t>Activity Cost</t>
  </si>
  <si>
    <t>ZAR2015/tonne LS</t>
  </si>
  <si>
    <t>Lifespan</t>
  </si>
  <si>
    <t>https://www.steelonthenet.com/cost-bof.html</t>
  </si>
  <si>
    <t>years</t>
  </si>
  <si>
    <t>https://newsroom.posco.com/en/make-steel-oldie-goodie-blast-furnace/#:~:text=The%20Blast%20furnace%20is%20one,to%20be%20replaced%20or%20refurbished.</t>
  </si>
  <si>
    <t>years BF</t>
  </si>
  <si>
    <t>https://www.arcelormittal-reports.com/reports/ar_2015/pdf/full-integrated.pdf</t>
  </si>
  <si>
    <t>the year in which Newcastle furnace reline</t>
  </si>
  <si>
    <t>Billion ZAR to reline</t>
  </si>
  <si>
    <t>pg 17 of 2008 IAR</t>
  </si>
  <si>
    <t>Reline every 12 to 15 years</t>
  </si>
  <si>
    <t>newcastle N5 partially relined in 2007</t>
  </si>
  <si>
    <t>Midrex and Corex relined</t>
  </si>
  <si>
    <t>BF D at Vndbj rebuilt</t>
  </si>
  <si>
    <t>12 to 15</t>
  </si>
  <si>
    <t>Years</t>
  </si>
  <si>
    <t>AMSA IAR 2008 pg 17</t>
  </si>
  <si>
    <t>using 20</t>
  </si>
  <si>
    <t>it's conservative</t>
  </si>
  <si>
    <t>EOL</t>
  </si>
  <si>
    <t>Reline in 2007 - see AMSA IAR sheet</t>
  </si>
  <si>
    <t>Assuming end of life for BFBOF route</t>
  </si>
  <si>
    <t>Reline at Newcastle - see AMSA IAR sheet</t>
  </si>
  <si>
    <t>https://www.steelonthenet.com/cost-eaf.html</t>
  </si>
  <si>
    <t>EAF life</t>
  </si>
  <si>
    <t xml:space="preserve">Assume. Lots of private players so no idea really. </t>
  </si>
  <si>
    <t xml:space="preserve">Total demand </t>
  </si>
  <si>
    <t>IPPU</t>
  </si>
  <si>
    <t>Average cost for different routes</t>
  </si>
  <si>
    <t>CAPEX</t>
  </si>
  <si>
    <t>2010 ZAR/t</t>
  </si>
  <si>
    <t>Advanced Scrap-EAF</t>
  </si>
  <si>
    <t>Advanced BF-BOF</t>
  </si>
  <si>
    <t>New capital cost:</t>
  </si>
  <si>
    <t>Mothballed the EAF in 2016, but brought it back online in 2019.</t>
  </si>
  <si>
    <t>Economics</t>
  </si>
  <si>
    <t xml:space="preserve">Energy </t>
  </si>
  <si>
    <t>Table 3 from "IEA The future of Hydrogen 2019"</t>
  </si>
  <si>
    <t>From:"IEA Energy technology perspectives 2020"</t>
  </si>
  <si>
    <t>pg 142</t>
  </si>
  <si>
    <t>Electrolysers will drop from</t>
  </si>
  <si>
    <t>850-1100</t>
  </si>
  <si>
    <t>USD today to</t>
  </si>
  <si>
    <t>by 2050</t>
  </si>
  <si>
    <t>on account of upscaling production</t>
  </si>
  <si>
    <t>PEM</t>
  </si>
  <si>
    <t>Today</t>
  </si>
  <si>
    <t>Efficiency</t>
  </si>
  <si>
    <t>lower</t>
  </si>
  <si>
    <t>USD/kWe</t>
  </si>
  <si>
    <t>upper</t>
  </si>
  <si>
    <t>Alkaline</t>
  </si>
  <si>
    <t>avg.</t>
  </si>
  <si>
    <t>STORAGE</t>
  </si>
  <si>
    <t>Source:</t>
  </si>
  <si>
    <t xml:space="preserve">R.K. Ahluwalia, D.D. Papadias, J-K Peng, and H.S. Roh, System Level Analysis of Hydrogen Storage Options, presentation, 2019, </t>
  </si>
  <si>
    <t>https://www.hydrogen.energy.gov/pdfs/review19/st001_ahluwalia_2019_o.pdf</t>
  </si>
  <si>
    <t>Underground pipe (schedule 60) storage system gives the lowest cost:</t>
  </si>
  <si>
    <t>tonnes H2</t>
  </si>
  <si>
    <t>8-100</t>
  </si>
  <si>
    <t>Bar pressure</t>
  </si>
  <si>
    <t>$/kg</t>
  </si>
  <si>
    <t>To ZAR for the model</t>
  </si>
  <si>
    <t>hydrogen is:</t>
  </si>
  <si>
    <t>to 2015 ZAR / kg H2</t>
  </si>
  <si>
    <t>2015ZAR / MJ H2</t>
  </si>
  <si>
    <t>mR for stroage</t>
  </si>
  <si>
    <t>mZAR/PJ</t>
  </si>
  <si>
    <t>Learning on the pipes system by 2030</t>
  </si>
  <si>
    <t xml:space="preserve">Mallapragada et al., Can Industrial-Scale Solar Hydrogen Supplied from Commodity Technologies Be Cost Competitive by 2030?, Cell Reports Physical Science 1, 100174, September 23, 2020 ª 2020 The Author(s). </t>
  </si>
  <si>
    <t xml:space="preserve"> https://doi.org/10.1016/j.xcrp.2020.100174</t>
  </si>
  <si>
    <t xml:space="preserve">Data from the Vogl et al. 2018 paper. </t>
  </si>
  <si>
    <t xml:space="preserve">Financial year is assumed to be 2018. It was not clear in the paper. </t>
  </si>
  <si>
    <t xml:space="preserve">Data comes also from the appendix. </t>
  </si>
  <si>
    <t xml:space="preserve">in 2018: </t>
  </si>
  <si>
    <t>EUR/USD</t>
  </si>
  <si>
    <t xml:space="preserve">roughly avg. </t>
  </si>
  <si>
    <t>https://www.xe.com/currencycharts/?from=EUR&amp;to=USD&amp;view=5Y</t>
  </si>
  <si>
    <t>Electrolyser</t>
  </si>
  <si>
    <t>Shaft</t>
  </si>
  <si>
    <t>Hydrogen LCV</t>
  </si>
  <si>
    <t>comment</t>
  </si>
  <si>
    <t>EUR/W</t>
  </si>
  <si>
    <t>latest PEM and Alkaline trend estimates</t>
  </si>
  <si>
    <t>EUR/t LS</t>
  </si>
  <si>
    <t>O&amp;M</t>
  </si>
  <si>
    <t>%of capex</t>
  </si>
  <si>
    <t>% of capex</t>
  </si>
  <si>
    <t>FOR EAF+ SHAFT</t>
  </si>
  <si>
    <t>VAR</t>
  </si>
  <si>
    <t>Graphite nodes</t>
  </si>
  <si>
    <t>EAF scrap ratio and energy consumption</t>
  </si>
  <si>
    <t>Inputs</t>
  </si>
  <si>
    <t>(from Vogl)</t>
  </si>
  <si>
    <t>t/t LS</t>
  </si>
  <si>
    <t>HBI</t>
  </si>
  <si>
    <t>kg/t LS</t>
  </si>
  <si>
    <t>Hydrogen</t>
  </si>
  <si>
    <t>or:</t>
  </si>
  <si>
    <t>kg/t iron ore</t>
  </si>
  <si>
    <t>HBI % input</t>
  </si>
  <si>
    <t>Based on Efficiency</t>
  </si>
  <si>
    <t>MWh/t LS</t>
  </si>
  <si>
    <t>est. + assump</t>
  </si>
  <si>
    <t>Lime</t>
  </si>
  <si>
    <t>kWh/t ore</t>
  </si>
  <si>
    <t>delta</t>
  </si>
  <si>
    <t>Scrap steel</t>
  </si>
  <si>
    <t>calc'd</t>
  </si>
  <si>
    <t>Assuming HBI input ratio</t>
  </si>
  <si>
    <t>Outputs</t>
  </si>
  <si>
    <t>t LS</t>
  </si>
  <si>
    <t>liquid steel</t>
  </si>
  <si>
    <t>kg</t>
  </si>
  <si>
    <t>Lambda</t>
  </si>
  <si>
    <t>Vogl assumed</t>
  </si>
  <si>
    <t>MJ/t LS</t>
  </si>
  <si>
    <t>H/elec</t>
  </si>
  <si>
    <t>This is the LHV in 2030</t>
  </si>
  <si>
    <t>EUR/t</t>
  </si>
  <si>
    <t>assumed</t>
  </si>
  <si>
    <t>EU labour average wage</t>
  </si>
  <si>
    <t>in 2018</t>
  </si>
  <si>
    <t>https://ec.europa.eu/eurostat/statistics-explained/index.php/Wages_and_labour_costs</t>
  </si>
  <si>
    <t>in ZAR</t>
  </si>
  <si>
    <t>Exchange rates</t>
  </si>
  <si>
    <t>Trying to figure out the numbers on this figure (2) from Vogl match the numbers stated in the paper itself:</t>
  </si>
  <si>
    <t>In South Africa</t>
  </si>
  <si>
    <t>EUR</t>
  </si>
  <si>
    <t>Rand</t>
  </si>
  <si>
    <t>in the year</t>
  </si>
  <si>
    <t>x</t>
  </si>
  <si>
    <t>y</t>
  </si>
  <si>
    <t xml:space="preserve">SCAW metals average maintenance worker salary: </t>
  </si>
  <si>
    <t xml:space="preserve">to </t>
  </si>
  <si>
    <t xml:space="preserve">k per year </t>
  </si>
  <si>
    <t>https://www.payscale.com/research/ZA/Employer=Scaw_Metals/Salary</t>
  </si>
  <si>
    <t xml:space="preserve">EAF w/o ore heating at 0% scrap. Macthes the text. </t>
  </si>
  <si>
    <t>my interp</t>
  </si>
  <si>
    <t>ELECTROLYSER</t>
  </si>
  <si>
    <t>ALL @ 0%</t>
  </si>
  <si>
    <t>R/hr</t>
  </si>
  <si>
    <t>ALL @ 20%</t>
  </si>
  <si>
    <t>Ore heating (MWh/t)</t>
  </si>
  <si>
    <t>X</t>
  </si>
  <si>
    <t>Y</t>
  </si>
  <si>
    <t>Other Var</t>
  </si>
  <si>
    <t>Other E</t>
  </si>
  <si>
    <t>Elc</t>
  </si>
  <si>
    <t>Cap</t>
  </si>
  <si>
    <t>For SATIM input</t>
  </si>
  <si>
    <t>MWh to PJ</t>
  </si>
  <si>
    <t>PJ/MWh</t>
  </si>
  <si>
    <t>(treating HBI as PJ in SATIM not mt, Oxygen is in PJ in SATIM but is input as mt. Read Oxygen results as mt)</t>
  </si>
  <si>
    <t>scaling</t>
  </si>
  <si>
    <t>Oxygen to Hydrogen mass ratio</t>
  </si>
  <si>
    <t>1USD2019 to 2015ZAR</t>
  </si>
  <si>
    <t>Vogl based:</t>
  </si>
  <si>
    <t>mt</t>
  </si>
  <si>
    <t>input elec</t>
  </si>
  <si>
    <t>input scrap</t>
  </si>
  <si>
    <t>output steel</t>
  </si>
  <si>
    <t>FLO_FUNC</t>
  </si>
  <si>
    <t>Total mt HBI + PJ of electricity</t>
  </si>
  <si>
    <t>FLO_SHAR</t>
  </si>
  <si>
    <t>PRC_ACTFLO</t>
  </si>
  <si>
    <t>t scrap per t output of LS</t>
  </si>
  <si>
    <t>Vogl</t>
  </si>
  <si>
    <t>Capital cost</t>
  </si>
  <si>
    <t>2015 ZAR/t</t>
  </si>
  <si>
    <t>NCAP COST</t>
  </si>
  <si>
    <t>mR/mt</t>
  </si>
  <si>
    <t>ZAR/t output</t>
  </si>
  <si>
    <t>ACT_COST</t>
  </si>
  <si>
    <t>2015mR/mt</t>
  </si>
  <si>
    <t>IEA based</t>
  </si>
  <si>
    <t>H2 in kg</t>
  </si>
  <si>
    <t>in mt</t>
  </si>
  <si>
    <t>output H2</t>
  </si>
  <si>
    <t>output O2</t>
  </si>
  <si>
    <t>IEA</t>
  </si>
  <si>
    <t>efficiency</t>
  </si>
  <si>
    <t>ACT_EFF</t>
  </si>
  <si>
    <t>H2</t>
  </si>
  <si>
    <t>ignore</t>
  </si>
  <si>
    <t>O2</t>
  </si>
  <si>
    <t>elc</t>
  </si>
  <si>
    <t>Assumption</t>
  </si>
  <si>
    <t>Availability</t>
  </si>
  <si>
    <t xml:space="preserve">Capital cost </t>
  </si>
  <si>
    <t>to ZAR</t>
  </si>
  <si>
    <t>R/kWe</t>
  </si>
  <si>
    <t>Summaries for reporting tables (into report)</t>
  </si>
  <si>
    <t>mR/GW</t>
  </si>
  <si>
    <t>Life</t>
  </si>
  <si>
    <t>hrs</t>
  </si>
  <si>
    <t>Electrolyser - Alkaline</t>
  </si>
  <si>
    <t>Capital</t>
  </si>
  <si>
    <t>mR/Gwe</t>
  </si>
  <si>
    <t>TLIFE</t>
  </si>
  <si>
    <t>mR/GWe</t>
  </si>
  <si>
    <t>Opex</t>
  </si>
  <si>
    <t>mR/Mt</t>
  </si>
  <si>
    <t>Alkaline electrolyser - pesimistic range numbers</t>
  </si>
  <si>
    <t>Fixed</t>
  </si>
  <si>
    <t>% of Capex</t>
  </si>
  <si>
    <t>Hours</t>
  </si>
  <si>
    <t>Max</t>
  </si>
  <si>
    <t>Electrolyser - PEM</t>
  </si>
  <si>
    <t>upper range</t>
  </si>
  <si>
    <t>Fixed cost %</t>
  </si>
  <si>
    <t>assumption - same as Mallapragada</t>
  </si>
  <si>
    <t>NCAP_FOM</t>
  </si>
  <si>
    <t>Lower range</t>
  </si>
  <si>
    <t>avg. lower and upper</t>
  </si>
  <si>
    <t>Alkaline electrolyser - optimistic range numbers</t>
  </si>
  <si>
    <t>lower range</t>
  </si>
  <si>
    <t>avg. up and lower</t>
  </si>
  <si>
    <t>Thermal requirement for ore heating:</t>
  </si>
  <si>
    <t>Oxygen revenue</t>
  </si>
  <si>
    <t>SHAFT</t>
  </si>
  <si>
    <t>tonne of ore</t>
  </si>
  <si>
    <t>Tonnes Oxy produced as a result of producing H2 for the iron</t>
  </si>
  <si>
    <t>PJ thermal addition needed</t>
  </si>
  <si>
    <t>2019USD/tonne Oxygen</t>
  </si>
  <si>
    <t>Vogl based</t>
  </si>
  <si>
    <t>Input Hydrogen</t>
  </si>
  <si>
    <t>Input Ore</t>
  </si>
  <si>
    <t>"PJ" but it's Mt.</t>
  </si>
  <si>
    <t>$ total revenue for the year</t>
  </si>
  <si>
    <t>Output HBI</t>
  </si>
  <si>
    <t>Oxy $ revenue/tonne iron</t>
  </si>
  <si>
    <t>PJ ELC /Mt</t>
  </si>
  <si>
    <t>for ore heating</t>
  </si>
  <si>
    <t>NOTE: Havent added this yet to SATIM</t>
  </si>
  <si>
    <t>NCAP_AFA</t>
  </si>
  <si>
    <t>Same as Napp for DRI</t>
  </si>
  <si>
    <t>2015ZAR/t</t>
  </si>
  <si>
    <t>Mt/Mt iron</t>
  </si>
  <si>
    <t>Activity cost:</t>
  </si>
  <si>
    <t xml:space="preserve">assumed. </t>
  </si>
  <si>
    <t>maximum</t>
  </si>
  <si>
    <t>Exports of green iron</t>
  </si>
  <si>
    <t>Pig iron now:</t>
  </si>
  <si>
    <t>2015USD/t</t>
  </si>
  <si>
    <t>mR/PJ</t>
  </si>
  <si>
    <t>See:</t>
  </si>
  <si>
    <t>Sheet. And assuming further 10% by 2050</t>
  </si>
  <si>
    <t>Most of the literature has 99%</t>
  </si>
  <si>
    <t>for compressor:</t>
  </si>
  <si>
    <t>kWh/kg H2 for 30 to 100 bar</t>
  </si>
  <si>
    <t>MJ elec/MJ H2</t>
  </si>
  <si>
    <t>source:mallapragada</t>
  </si>
  <si>
    <t>Including elec for compressor. DOES NOT INCLUDE cost for compressor</t>
  </si>
  <si>
    <t>input iron</t>
  </si>
  <si>
    <t>ELECTRIC ARC FURNACE (EAF)</t>
  </si>
  <si>
    <t>2018 USD per EUR:</t>
  </si>
  <si>
    <t>2018 to 2015</t>
  </si>
  <si>
    <t>mR</t>
  </si>
  <si>
    <t>Salaries + wages</t>
  </si>
  <si>
    <t>includes contractors</t>
  </si>
  <si>
    <t>Total flat steel</t>
  </si>
  <si>
    <t>sold</t>
  </si>
  <si>
    <t>includes export</t>
  </si>
  <si>
    <t>total long steel</t>
  </si>
  <si>
    <t>avg. cost of labour</t>
  </si>
  <si>
    <t>R/t steel</t>
  </si>
  <si>
    <t>this is very conservative if using for iron-only facility</t>
  </si>
  <si>
    <t>2019 report</t>
  </si>
  <si>
    <t>Average net realised price</t>
  </si>
  <si>
    <t>USD:</t>
  </si>
  <si>
    <t>Vanderbajl</t>
  </si>
  <si>
    <t>assumed half for iron, the other half for steel</t>
  </si>
  <si>
    <t>ELECTROLYSER - PEM</t>
  </si>
  <si>
    <t>Average</t>
  </si>
  <si>
    <t>(hours)</t>
  </si>
  <si>
    <t>Alk. Electrolyser lifespan</t>
  </si>
  <si>
    <t>Electrolyser lifespan:</t>
  </si>
  <si>
    <t>Electrolyser efficiency:</t>
  </si>
  <si>
    <t>Alk. Electrolyser efficiency</t>
  </si>
  <si>
    <t>Electrolyser costs:</t>
  </si>
  <si>
    <t>FOM</t>
  </si>
  <si>
    <t>First possible start year:</t>
  </si>
  <si>
    <t>Costs</t>
  </si>
  <si>
    <t>Alk. Electrolyser costs</t>
  </si>
  <si>
    <t>H-DRI scenario input</t>
  </si>
  <si>
    <t>H-DRI scenario</t>
  </si>
  <si>
    <t>IEA report</t>
  </si>
  <si>
    <t>Iron and Steel</t>
  </si>
  <si>
    <t>2019USD to 2015 ZAR</t>
  </si>
  <si>
    <t>COM_GRP,COM_GRPTRU</t>
  </si>
  <si>
    <t>Comm. Group for Industry - Iron&amp;Steel - HDRI facility - EAF - output</t>
  </si>
  <si>
    <t>CGIISHHDRIEAF-N-O</t>
  </si>
  <si>
    <t>D</t>
  </si>
  <si>
    <t>Comm. Group for Industry - Iron&amp;Steel - HDRI facility - EAF - input</t>
  </si>
  <si>
    <t>CGIISHHDRIEAF-N-I</t>
  </si>
  <si>
    <t>PRC,PRE,DAYNITE</t>
  </si>
  <si>
    <t>PJ,PJa</t>
  </si>
  <si>
    <t>Industry electricity to HDRI facility</t>
  </si>
  <si>
    <t>XIISELCHY</t>
  </si>
  <si>
    <t>T</t>
  </si>
  <si>
    <t>PRC,PRE,ANNUAL</t>
  </si>
  <si>
    <t>Extraction of Iron ore</t>
  </si>
  <si>
    <t>MINFEORE</t>
  </si>
  <si>
    <t>PRC,ELE,DAYNITE</t>
  </si>
  <si>
    <t>PJ,GW</t>
  </si>
  <si>
    <t>Industry - Iron and Steel - Solar PV tracking - optimistic prices</t>
  </si>
  <si>
    <t>IISHSOLPCTO-N</t>
  </si>
  <si>
    <t>*</t>
  </si>
  <si>
    <t>PRC,PRE,STGTSS,DAYNITE</t>
  </si>
  <si>
    <t>Industry - Iron and Steel - Hydrogen storage</t>
  </si>
  <si>
    <t>IISHHGNSTOR-N</t>
  </si>
  <si>
    <t>mt,mt/a</t>
  </si>
  <si>
    <t>Industry - Iron&amp;Steel - Hydrogen DRI route - Hydrogen furnace</t>
  </si>
  <si>
    <t>IISHHDRI-N</t>
  </si>
  <si>
    <t>uwt,uwt/a</t>
  </si>
  <si>
    <t>Industry Iron and Steel - Hot Bricketted Iron storage</t>
  </si>
  <si>
    <t>IISHDRIHBI-STOR</t>
  </si>
  <si>
    <t>Industry - Iron&amp;Steel - Hydrogen DRI route - EAF</t>
  </si>
  <si>
    <t>IISHDRIEAF-N</t>
  </si>
  <si>
    <t>Utility Scale Storage - 4hrs - for I&amp;S</t>
  </si>
  <si>
    <t>IISHBATTERY</t>
  </si>
  <si>
    <t>Industry Iron and Steel - Alkaline Electrolyser - Water Electrolysis input rated GW optimistic cost</t>
  </si>
  <si>
    <t>IISHALKHGNO</t>
  </si>
  <si>
    <t>Industry - I&amp;S - green steel to local steel</t>
  </si>
  <si>
    <t>IISXHGNCRS</t>
  </si>
  <si>
    <t>COM,NRG,DAYNITE,FOSSIL</t>
  </si>
  <si>
    <t>Hydrogen for HDRI iron and steel</t>
  </si>
  <si>
    <t>IISHHGN</t>
  </si>
  <si>
    <t>E</t>
  </si>
  <si>
    <t>COM,NRG,DAYNITE,ELC</t>
  </si>
  <si>
    <t>Industry-IS-Electricity for HDRI</t>
  </si>
  <si>
    <t>IISHHELC</t>
  </si>
  <si>
    <t>COM,NRG,ANNUAL,FOSSIL</t>
  </si>
  <si>
    <t>Industry - hydrogen for steel - steel commodity</t>
  </si>
  <si>
    <t>IISHGCRS</t>
  </si>
  <si>
    <t>Industry - Hot Bricketted Iron - HDRI route</t>
  </si>
  <si>
    <t>IISHBI</t>
  </si>
  <si>
    <t>Industry - Iron and Steel - Iron Ore</t>
  </si>
  <si>
    <t>IISFEORE</t>
  </si>
  <si>
    <t>REGION1</t>
  </si>
  <si>
    <t>STG_EFF</t>
  </si>
  <si>
    <t>NCAP_TLIFE</t>
  </si>
  <si>
    <t>NCAP_ILED</t>
  </si>
  <si>
    <t>NCAP_COST</t>
  </si>
  <si>
    <t>DAYNITE</t>
  </si>
  <si>
    <t>ACTGRP</t>
  </si>
  <si>
    <t>NCAP_AFC</t>
  </si>
  <si>
    <t>S2D1B5</t>
  </si>
  <si>
    <t>NCAP_AF</t>
  </si>
  <si>
    <t>S2D1B4</t>
  </si>
  <si>
    <t>S2D1B3</t>
  </si>
  <si>
    <t>S2D1B2</t>
  </si>
  <si>
    <t>S2D1B1</t>
  </si>
  <si>
    <t>S1D1B3</t>
  </si>
  <si>
    <t>S1D1B2</t>
  </si>
  <si>
    <t>S1D1B1</t>
  </si>
  <si>
    <t>ANNUAL</t>
  </si>
  <si>
    <t>FX</t>
  </si>
  <si>
    <t>TOP-OUT</t>
  </si>
  <si>
    <t>TOP-IN</t>
  </si>
  <si>
    <t>PWRSOL</t>
  </si>
  <si>
    <t>PRC_VINT</t>
  </si>
  <si>
    <t>PRC_CAPACT</t>
  </si>
  <si>
    <t>PRC_ACTUNT</t>
  </si>
  <si>
    <t>NCAP_START</t>
  </si>
  <si>
    <t>ISHPEMHGN-G</t>
  </si>
  <si>
    <t>COM_GMAP</t>
  </si>
  <si>
    <t>CGIISHPEMHGN-N-O</t>
  </si>
  <si>
    <t>CGIISHHDRI-N-I</t>
  </si>
  <si>
    <t>CGIISHPEMHGN-N-I</t>
  </si>
  <si>
    <t>CGIISHHDRI-N-O</t>
  </si>
  <si>
    <t>ELECTROLYSERS</t>
  </si>
  <si>
    <t>Long term</t>
  </si>
  <si>
    <t>Capex</t>
  </si>
  <si>
    <t>IEA range</t>
  </si>
  <si>
    <t>Capex USD/kWe</t>
  </si>
  <si>
    <t>Efficiency (LHV)</t>
  </si>
  <si>
    <t>Lifespan (hours)</t>
  </si>
  <si>
    <t>HYDROGEN STORAGE</t>
  </si>
  <si>
    <t>from vogl paper: Graphite, labour, fluxes</t>
  </si>
  <si>
    <t>Hydrogen DRI technology</t>
  </si>
  <si>
    <t>Literature and calculations</t>
  </si>
  <si>
    <t>Assuming further 10% by 2050</t>
  </si>
  <si>
    <t>Elec input</t>
  </si>
  <si>
    <t>From bruno's exchange rate calculator sheet:</t>
  </si>
  <si>
    <t>1 USD in</t>
  </si>
  <si>
    <t>to 2015ZAR</t>
  </si>
  <si>
    <t>2018USD to 2015ZAR</t>
  </si>
  <si>
    <t>Captial</t>
  </si>
  <si>
    <t>Storage system - pipelines</t>
  </si>
  <si>
    <t>Electrolysers</t>
  </si>
  <si>
    <t>Summary of literature for model input</t>
  </si>
  <si>
    <t>Capex ZAR/kWe</t>
  </si>
  <si>
    <t>adjust capex to ZAR</t>
  </si>
  <si>
    <t>RES of HDRI model for DDP project and climate policy, based off Vogl paper</t>
  </si>
  <si>
    <t>Direct reduced Iron furnace</t>
  </si>
  <si>
    <t>Labour cost</t>
  </si>
  <si>
    <t>Iron ore/pellets</t>
  </si>
  <si>
    <t>Thermal energy</t>
  </si>
  <si>
    <t>Tonnes/tonne output</t>
  </si>
  <si>
    <t>PJ/Mt output</t>
  </si>
  <si>
    <t>R/t.yr</t>
  </si>
  <si>
    <t xml:space="preserve">AMSA labour cost for steel. Assume half. </t>
  </si>
  <si>
    <t>mZar/Mt</t>
  </si>
  <si>
    <t>mZAR/Mt</t>
  </si>
  <si>
    <t>AMSA - other half</t>
  </si>
  <si>
    <t>Worldsteel</t>
  </si>
  <si>
    <t>Value</t>
  </si>
  <si>
    <t>Reference/comment</t>
  </si>
  <si>
    <t>mR/PJ H2</t>
  </si>
  <si>
    <t>MJ elec/MJ H2 stored</t>
  </si>
  <si>
    <t>1% of capex assumption</t>
  </si>
  <si>
    <t>assume 5% of capex</t>
  </si>
  <si>
    <t>2006 financial presentation</t>
  </si>
  <si>
    <t>Existing Technologies</t>
  </si>
  <si>
    <t>New build technologies</t>
  </si>
  <si>
    <t>Blast furnace-Basic oxygen furnace (Existing)</t>
  </si>
  <si>
    <t>Direct reduct iron-Electric arc (Existing)</t>
  </si>
  <si>
    <t>Scrap-Electric arc (Existing)</t>
  </si>
  <si>
    <t>Blast furnace-Basic oxygen furnace (new)</t>
  </si>
  <si>
    <t>Direct reduced iron-Electric arc (new coal-based)</t>
  </si>
  <si>
    <t>Direct reduced iron-Electric arc (new gas based)</t>
  </si>
  <si>
    <t>Scrap-Electric arc (new)</t>
  </si>
  <si>
    <t>BFBOF-N</t>
  </si>
  <si>
    <t>DRIEAF-NC</t>
  </si>
  <si>
    <t>DRIEAF-NG</t>
  </si>
  <si>
    <t>SCREAF-N</t>
  </si>
  <si>
    <t>Total intensity</t>
  </si>
  <si>
    <t>End of life</t>
  </si>
  <si>
    <t>Activity costs</t>
  </si>
  <si>
    <t>mR/Mt.yr</t>
  </si>
  <si>
    <t>Economic</t>
  </si>
  <si>
    <t>Current capacity (2020)</t>
  </si>
  <si>
    <t>Corex+Midrex-Conarc</t>
  </si>
  <si>
    <t>from the energy sheet:</t>
  </si>
  <si>
    <t xml:space="preserve">IPPU </t>
  </si>
  <si>
    <t>t CO2eq/t output</t>
  </si>
  <si>
    <t>Investment cost for new build Iron and Steel plants</t>
  </si>
  <si>
    <t>Base year</t>
  </si>
  <si>
    <t>Individual units</t>
  </si>
  <si>
    <t>Equipment details</t>
  </si>
  <si>
    <t>Unit op</t>
  </si>
  <si>
    <t>Currency year</t>
  </si>
  <si>
    <t>Cost CUR/(t/a)</t>
  </si>
  <si>
    <t>Cost ZAR/(t/a)</t>
  </si>
  <si>
    <t>Blast furnace</t>
  </si>
  <si>
    <t>[1]</t>
  </si>
  <si>
    <t>Iron prod</t>
  </si>
  <si>
    <t>n/a</t>
  </si>
  <si>
    <t>Steel prod</t>
  </si>
  <si>
    <t>DRI (Midrex)</t>
  </si>
  <si>
    <t>DRI (Hylsa)</t>
  </si>
  <si>
    <t>Technored smelting with cogen</t>
  </si>
  <si>
    <t>Technored without cogen</t>
  </si>
  <si>
    <t>HISmelt</t>
  </si>
  <si>
    <t>BF PCI</t>
  </si>
  <si>
    <t>BF-TGR-with CCS</t>
  </si>
  <si>
    <t>Corex with CCS</t>
  </si>
  <si>
    <t>Whole plants</t>
  </si>
  <si>
    <t>BF (PCI)-BOF)</t>
  </si>
  <si>
    <t>Sum of two routes above</t>
  </si>
  <si>
    <t>[2]</t>
  </si>
  <si>
    <t>Integrated process</t>
  </si>
  <si>
    <t xml:space="preserve">HYLSA Shaft Furnace without reformer, Hot DRI charge to EAF </t>
  </si>
  <si>
    <t>[3]</t>
  </si>
  <si>
    <t xml:space="preserve">COREX/MIDREX with 60% Hot Metal/40% DRI charge to EAF </t>
  </si>
  <si>
    <t>HISmelt-EAF</t>
  </si>
  <si>
    <t xml:space="preserve">HISMELT with 32.7% Hot Metal charge to EAF </t>
  </si>
  <si>
    <t xml:space="preserve">REDSMELT Hot Metal with only Recycle Scrap to EAF </t>
  </si>
  <si>
    <t xml:space="preserve">ITMK3 to EAF with only recycle scrap charge to EAF </t>
  </si>
  <si>
    <t xml:space="preserve">CIRCORED/HBI/EAF with only Recycle Scrap charge to EAF </t>
  </si>
  <si>
    <t xml:space="preserve">CIRCOFER/HBI/SAF/EAF with only Recycle Scrap charge to EAF </t>
  </si>
  <si>
    <t xml:space="preserve">FINMET/HBI/EAF with only Recycle Scrap Charge to EAF </t>
  </si>
  <si>
    <t>BF-BOF (low end)</t>
  </si>
  <si>
    <t>BF-BOF (high end)</t>
  </si>
  <si>
    <t>CCS</t>
  </si>
  <si>
    <t>Corex (with CCS) - BOF</t>
  </si>
  <si>
    <t>BF (TGR with CCS)-BOF</t>
  </si>
  <si>
    <t>DRI (Midrex)-EAF</t>
  </si>
  <si>
    <t>DRI (Hylsa)-EAF</t>
  </si>
  <si>
    <t xml:space="preserve">100% Shaft Furnace DRI charge to EAF, 1.0 wt.% Carbon </t>
  </si>
  <si>
    <t xml:space="preserve">100% Shaft Furnace DRI charge to EAF, 2.5 wt.% Carbon </t>
  </si>
  <si>
    <t xml:space="preserve">30% Shaft Furnace DRI/70% Scrap to EAF, 1.0 wt.% DRI Carbon </t>
  </si>
  <si>
    <t xml:space="preserve">30% Shaft Furnace DRI/70% Scrap to EAF, 2.5 wt.% DRI Carbon </t>
  </si>
  <si>
    <t xml:space="preserve">MAUMEE Briquette DRI/EAF with only Recycle Scrap to EAF </t>
  </si>
  <si>
    <t xml:space="preserve">Generic IRON CARBIDE/EAF with only Recycle Scrap to EAF </t>
  </si>
  <si>
    <t xml:space="preserve">Generic IRON CARBIDE/EAF with 60% Scrap charge to EAF </t>
  </si>
  <si>
    <t>None</t>
  </si>
  <si>
    <t>Open Hearth Furnace</t>
  </si>
  <si>
    <t>Conventional Scrap-EAF</t>
  </si>
  <si>
    <t xml:space="preserve">100% Steel Scrap charge to EAF </t>
  </si>
  <si>
    <t xml:space="preserve">30% Cold Pig Iron/70% Scrap to EAF, 4.5% Carbon Pig </t>
  </si>
  <si>
    <t>Technored (no cogen) - EAF</t>
  </si>
  <si>
    <t>Technored (with cogen) - EAF</t>
  </si>
  <si>
    <t>Corex-BOF</t>
  </si>
  <si>
    <t>Smelt-BOF</t>
  </si>
  <si>
    <t xml:space="preserve">30% Blast Furnace Hot Metal/70% Scrap to EAF, Co-Product Coke </t>
  </si>
  <si>
    <t xml:space="preserve">30% Blast Furnace Hot Metal/70% Scrap to EAF, Mini Blast Fce. </t>
  </si>
  <si>
    <t xml:space="preserve">30% Blast Furnace Hot Metal/70% Scrap to EAF, Non-Recov. Coke </t>
  </si>
  <si>
    <t xml:space="preserve">30% Technored Hot Metal/70% Scrap to EAF, with Co-Generation </t>
  </si>
  <si>
    <t xml:space="preserve">30% Technored Hot Metal/70% Scrap to EAF, without Co-Gen. </t>
  </si>
  <si>
    <t xml:space="preserve">SL/RN Rotary Kiln with only Recycle Scrap charge to EAF </t>
  </si>
  <si>
    <t>[1] IEA ETSAP - Technology Brief I02 - May 2010</t>
  </si>
  <si>
    <t>[2] Hildalgo et al. 2005, Technological prospects and CO2 emissions trading anlayses in the iron and steel industry: A global model. Provides data indexed to the cost for an advanced BF-BOF process</t>
  </si>
  <si>
    <t>[3] Iron Making Process Alternatives Screening Study Volume I: Summary Report - Oct 2000</t>
  </si>
  <si>
    <t>gas based</t>
  </si>
  <si>
    <t>Coals based assumed to be 20% more expensive</t>
  </si>
  <si>
    <t>Convert Napp 2010 to 2015 numbers</t>
  </si>
  <si>
    <t>tonnes CO2/tonne LS</t>
  </si>
  <si>
    <t>SA NIR 2017</t>
  </si>
  <si>
    <t>From worrel</t>
  </si>
  <si>
    <t>Final energy</t>
  </si>
  <si>
    <t>Fuel</t>
  </si>
  <si>
    <t>ALL_TS,ANNUAL</t>
  </si>
  <si>
    <t>Annual</t>
  </si>
  <si>
    <t>W</t>
  </si>
  <si>
    <t>Industry - Iron and Steel - Waste (dummy)</t>
  </si>
  <si>
    <t>XIISWAS</t>
  </si>
  <si>
    <t>Industry - Iron and Steel - Steel Scrap</t>
  </si>
  <si>
    <t>XIISSSC</t>
  </si>
  <si>
    <t>Industry - Iron and Steel - Oil LPG</t>
  </si>
  <si>
    <t>XIISOLP</t>
  </si>
  <si>
    <t>Industry - Iron and Steel - Oil</t>
  </si>
  <si>
    <t>XIISOIL</t>
  </si>
  <si>
    <t>Industry - Iron and Steel - Gas (dummy)</t>
  </si>
  <si>
    <t>XIISGAS</t>
  </si>
  <si>
    <t>Industry - Iron and Steel - Coal (dummy)</t>
  </si>
  <si>
    <t>XIISCOA</t>
  </si>
  <si>
    <t>Industry - Iron and Steel - Coking Coal (dummy)</t>
  </si>
  <si>
    <t>XIISCKC</t>
  </si>
  <si>
    <t>Industry - Iron and Steel - Biomass (dummy)</t>
  </si>
  <si>
    <t>XIISBIO</t>
  </si>
  <si>
    <t>Industry - Iron&amp;Steel - Scrap Electric Arc Furnace - New build</t>
  </si>
  <si>
    <t>Industry - Iron&amp;Steel - Scrap Electric Arc Furnace - Existing - Energy efficiency technology level 2</t>
  </si>
  <si>
    <t>IISSCREAF-E-T2</t>
  </si>
  <si>
    <t>Industry - Iron&amp;Steel - Scrap Electric Arc Furnace - Existing - Energy Efficiency technology level 1</t>
  </si>
  <si>
    <t>IISSCREAF-E-T1</t>
  </si>
  <si>
    <t>Industry - Iron&amp;Steel - Scrap Electric Arc Furnace - Existing</t>
  </si>
  <si>
    <t>Industry - Iron&amp;Steel - OTHEAF route - Existing - Energy Efficiency Technology level 2</t>
  </si>
  <si>
    <t>IISOTHEAF-E-T2</t>
  </si>
  <si>
    <t>Industry - Iron&amp;Steel - OTHEAF route - Existing - Energy Efficiency technology level 1</t>
  </si>
  <si>
    <t>IISOTHEAF-E-T1</t>
  </si>
  <si>
    <t>Industry - Iron&amp;Steel - Other EAF - Existing</t>
  </si>
  <si>
    <t>Industry - Iron&amp;Steel - DRIEAF route - New Build - Gas</t>
  </si>
  <si>
    <t>Industry - Iron&amp;Steel - DRIEAF route - New Build - Coal</t>
  </si>
  <si>
    <t>Industry - Iron&amp;Steel - Coal DRIEAF route - Existing - Energy Efficiency Technology level 2</t>
  </si>
  <si>
    <t>IISDRIEAF-E-T2</t>
  </si>
  <si>
    <t>Industry - Iron&amp;Steel - Coal DRI-EAF route - Existing - Energy efficiency technology level 1</t>
  </si>
  <si>
    <t>IISDRIEAF-E-T1</t>
  </si>
  <si>
    <t>Industry - Iron&amp;Steel - Coal DRI-EAF route - Existing</t>
  </si>
  <si>
    <t>Industry - Iron&amp;Steel - Coke oven</t>
  </si>
  <si>
    <t>IISCOV</t>
  </si>
  <si>
    <t>Industry - Iron&amp;Steel - COREAF route - Existing - Energy Efficiency Technology level 2</t>
  </si>
  <si>
    <t>IISCOREAF-E-T2</t>
  </si>
  <si>
    <t>Industry - Iron&amp;Steel - COREAF route - Existing - Energy Efficiency technology level 1</t>
  </si>
  <si>
    <t>IISCOREAF-E-T1</t>
  </si>
  <si>
    <t>Industry - Iron&amp;Steel - Corex EAF - Existing</t>
  </si>
  <si>
    <t>Industry - Iron&amp;Steel - BF BOF route - New build</t>
  </si>
  <si>
    <t>Industry - Iron&amp;Steel - BF BOF route - Existing - Energy Efficiency Technology level 2</t>
  </si>
  <si>
    <t>IISBFBOF-E-T2</t>
  </si>
  <si>
    <t>Industry - Iron&amp;Steel - BF BOF route - Existing - Energy Efficiency Technology level 1</t>
  </si>
  <si>
    <t>IISBFBOF-E-T1</t>
  </si>
  <si>
    <t>Industry - Iron&amp;Steel - BF BOF route - Existing</t>
  </si>
  <si>
    <t>COM,ENV,ANNUAL,GHG</t>
  </si>
  <si>
    <t>KT</t>
  </si>
  <si>
    <t>Industry - Sulphur Gases</t>
  </si>
  <si>
    <t>INDSOX</t>
  </si>
  <si>
    <t>Industry - PM10</t>
  </si>
  <si>
    <t>INDPM10</t>
  </si>
  <si>
    <t>Industry - Oil HFO</t>
  </si>
  <si>
    <t>INDOHF</t>
  </si>
  <si>
    <t>Industry - Nitrogen Gases</t>
  </si>
  <si>
    <t>INDNOX</t>
  </si>
  <si>
    <t>Industry - NMVOCs</t>
  </si>
  <si>
    <t>INDNMV</t>
  </si>
  <si>
    <t>Industry - Nitrous Oxide</t>
  </si>
  <si>
    <t>INDN2O</t>
  </si>
  <si>
    <t>Industry - South Africa gas</t>
  </si>
  <si>
    <t>INDGAS</t>
  </si>
  <si>
    <t>Industry - Coking coal</t>
  </si>
  <si>
    <t>INDCOK</t>
  </si>
  <si>
    <t>Industry - Coal</t>
  </si>
  <si>
    <t>INDCOA</t>
  </si>
  <si>
    <t>Industry - Carbon Dioxide</t>
  </si>
  <si>
    <t>INDCO2</t>
  </si>
  <si>
    <t>Industry - Carbon Monoxide</t>
  </si>
  <si>
    <t>INDCMOX</t>
  </si>
  <si>
    <t>Industry - Methane</t>
  </si>
  <si>
    <t>INDCH4</t>
  </si>
  <si>
    <t>Industry - Iron and Steel - Waste</t>
  </si>
  <si>
    <t>IISWAS</t>
  </si>
  <si>
    <t>Industry - steel scrap</t>
  </si>
  <si>
    <t>IISOIL</t>
  </si>
  <si>
    <t>Industry - Iron and Steel - Gas</t>
  </si>
  <si>
    <t>COM,DEM,ANNUAL,IND</t>
  </si>
  <si>
    <t>Industry - Crude Steel</t>
  </si>
  <si>
    <t>Industry - Coke oven gas</t>
  </si>
  <si>
    <t>IISCOG</t>
  </si>
  <si>
    <t>Industry - Iron and Steel - Coal</t>
  </si>
  <si>
    <t>Industry - Iron and Steel - CO2 emissions</t>
  </si>
  <si>
    <t>IISCO2</t>
  </si>
  <si>
    <t>Industry - Iron and Steel - Coke</t>
  </si>
  <si>
    <t>Industry - Iron and Steel - Coking coal</t>
  </si>
  <si>
    <t>IISCKC</t>
  </si>
  <si>
    <t>Industry - Iron and Steel - Biomass</t>
  </si>
  <si>
    <t>IISBIO</t>
  </si>
  <si>
    <t>Comm. Group for Industry - Iron&amp;Steel - Biomass supply - Input</t>
  </si>
  <si>
    <t>CGXIISBIO-I</t>
  </si>
  <si>
    <t>Comm. Group for Industry - Iron&amp;Steel - Scrap EAF - New Build - Output</t>
  </si>
  <si>
    <t>CGSCREAF-N-O</t>
  </si>
  <si>
    <t>Comm. Group for Industry - Iron&amp;Steel - Scrap EAF - New Build - Input</t>
  </si>
  <si>
    <t>CGSCREAF-N-I</t>
  </si>
  <si>
    <t>Comm. Group for Industry - Iron&amp;Steel - Scrap EAF - Existing - Output</t>
  </si>
  <si>
    <t>CGSCREAF-E-O</t>
  </si>
  <si>
    <t>Comm. Group for Industry - Iron&amp;Steel - Scrap EAF - Existing - Input</t>
  </si>
  <si>
    <t>CGSCREAF-E-I</t>
  </si>
  <si>
    <t>Comm. Group for Industry - Iron&amp;Steel - Other EAF - New Build - Output</t>
  </si>
  <si>
    <t>CGOTHEAF-N-O</t>
  </si>
  <si>
    <t>Comm. Group for Industry - Iron&amp;Steel - Other EAF - New Build - Input</t>
  </si>
  <si>
    <t>CGOTHEAF-N-I</t>
  </si>
  <si>
    <t>Comm. Group for Industry - Iron&amp;Steel - Other EAF - Existing - Output</t>
  </si>
  <si>
    <t>CGOTHEAF-E-O</t>
  </si>
  <si>
    <t>Comm. Group for Industry - Iron&amp;Steel - Other EAF - Existing - Input</t>
  </si>
  <si>
    <t>CGOTHEAF-E-I</t>
  </si>
  <si>
    <t>Comm. Group for Industry - Iron&amp;Steel - DRI-EAF - New Build - Output</t>
  </si>
  <si>
    <t>CGDRIEAF-N-O</t>
  </si>
  <si>
    <t>Comm. Group for Industry - Iron&amp;Steel - DRI-EAF - New Build - Input</t>
  </si>
  <si>
    <t>CGDRIEAF-N-I</t>
  </si>
  <si>
    <t>Comm. Group for Industry - Iron&amp;Steel - DRI-EAF - New Build - Gas - Output</t>
  </si>
  <si>
    <t>CGDRIEAF-NG-O</t>
  </si>
  <si>
    <t>Comm. Group for Industry - Iron&amp;Steel - DRI-EAF - New Build - Gas - Input</t>
  </si>
  <si>
    <t>CGDRIEAF-NG-I</t>
  </si>
  <si>
    <t>Comm. Group for Industry - Iron&amp;Steel - DRI-EAF - Existing - Output</t>
  </si>
  <si>
    <t>CGDRIEAF-E-O</t>
  </si>
  <si>
    <t>Comm. Group for Industry - Iron&amp;Steel - DRI-EAF - Existing - Input</t>
  </si>
  <si>
    <t>CGDRIEAF-E-I</t>
  </si>
  <si>
    <t>Comm. Group for Industry - Iron&amp;Steel - Corex EAF - Existing - Output</t>
  </si>
  <si>
    <t>CGCOREAF-E-O</t>
  </si>
  <si>
    <t>Comm. Group for Industry - Iron&amp;Steel - Corex EAF - Existing - Input</t>
  </si>
  <si>
    <t>CGCOREAF-E-I</t>
  </si>
  <si>
    <t>Comm. Group for Industry - Iron&amp;Steel - BF-BOF - New Build - Output</t>
  </si>
  <si>
    <t>CGBFBOF-N-O</t>
  </si>
  <si>
    <t>Comm. Group for Industry - Iron&amp;Steel - BF-BOF - New Build - Input</t>
  </si>
  <si>
    <t>CGBFBOF-N-I</t>
  </si>
  <si>
    <t>Comm. Group for Industry - Iron&amp;Steel - BF-BOF - Existing - Output</t>
  </si>
  <si>
    <t>CGBFBOF-E-O</t>
  </si>
  <si>
    <t>Comm. Group for Industry - Iron&amp;Steel - BF-BOF - Existing - Input</t>
  </si>
  <si>
    <t>CGBFBOF-E-I</t>
  </si>
  <si>
    <t>UC_N,UCRT,UCRULE</t>
  </si>
  <si>
    <t>uconstraint</t>
  </si>
  <si>
    <t>Act. constraint for Industry - Iron&amp;Steel - SCREAF - EE Tech level 2</t>
  </si>
  <si>
    <t>UC-SCREAF-T2-ACT</t>
  </si>
  <si>
    <t>C</t>
  </si>
  <si>
    <t>Act. constraint for Industry - Iron&amp;Steel - SCREAF - EE Tech level 1</t>
  </si>
  <si>
    <t>UC-SCREAF-T1-ACT</t>
  </si>
  <si>
    <t>Act. constraint for Industry - Iron&amp;Seel - SCREAF - Minimum Share</t>
  </si>
  <si>
    <t>UC-SCREAF-MIN</t>
  </si>
  <si>
    <t>Act. constraint for Industry - Iron&amp;Seel - SCREAF - Max Share</t>
  </si>
  <si>
    <t>UC-SCREAF-MAX</t>
  </si>
  <si>
    <t>Act. constraint for Industry - Iron&amp;Steel - SCREAF</t>
  </si>
  <si>
    <t>UC-SCREAF</t>
  </si>
  <si>
    <t>Act. constraint for Industry - Iron&amp;Steel - OTHEAF - EE Tech level 2</t>
  </si>
  <si>
    <t>UC-OTHEAF-T2-ACT</t>
  </si>
  <si>
    <t>Act. constraint for Industry - Iron&amp;Steel - OTHEAF - EE Tech level 1</t>
  </si>
  <si>
    <t>UC-OTHEAF-T1-ACT</t>
  </si>
  <si>
    <t>Act. constraint for Industry - Iron&amp;Steel - OTHEAF</t>
  </si>
  <si>
    <t>UC-OTHEAF</t>
  </si>
  <si>
    <t>Act. constraint for Industry - Iron&amp;Steel - DRIEAF - EE Tech level 2</t>
  </si>
  <si>
    <t>UC-DRIEAF-T2-ACT</t>
  </si>
  <si>
    <t>Act. constraint for Industry - Iron&amp;Steel - DRIEAF - EE Tech level 1</t>
  </si>
  <si>
    <t>UC-DRIEAF-T1-ACT</t>
  </si>
  <si>
    <t>Act. constraint for Industry - Iron&amp;Steel - DRIEAF</t>
  </si>
  <si>
    <t>UC-DRIEAF</t>
  </si>
  <si>
    <t>Act. constraint for Industry - Iron&amp;Steel - COREAF - EE Tech level 2</t>
  </si>
  <si>
    <t>UC-COREAF-T2-ACT</t>
  </si>
  <si>
    <t>Act. constraint for Industry - Iron&amp;Steel - COREAF - EE Tech level 1</t>
  </si>
  <si>
    <t>UC-COREAF-T1-ACT</t>
  </si>
  <si>
    <t>Act. constraint for Industry - Iron&amp;Steel - COREAF</t>
  </si>
  <si>
    <t>UC-COREAF</t>
  </si>
  <si>
    <t>Act. constraint for Industry - Iron&amp;Steel - BFBOF - EE Tech level 2</t>
  </si>
  <si>
    <t>UC-BFBOF-T2-ACT</t>
  </si>
  <si>
    <t>Act. constraint for Industry - Iron&amp;Steel - BFBOF - EE Tech level 1</t>
  </si>
  <si>
    <t>UC-BFBOF-T1-ACT</t>
  </si>
  <si>
    <t>Act. constraint for Industry - Iron&amp;Steel - BFBOF</t>
  </si>
  <si>
    <t>UC-BFBOF</t>
  </si>
  <si>
    <t>S-IIS-SCREAF-E</t>
  </si>
  <si>
    <t>LHS</t>
  </si>
  <si>
    <t>UCRULE_CAP</t>
  </si>
  <si>
    <t>S-IIS-OTHEAF-E</t>
  </si>
  <si>
    <t>S-IIS-DRIEAF-E</t>
  </si>
  <si>
    <t>S-IIS-COREAF-E</t>
  </si>
  <si>
    <t>S-IIS-BFBOF-E</t>
  </si>
  <si>
    <t>S-IIS-SCREAF-T2</t>
  </si>
  <si>
    <t>UCRULE_ACT</t>
  </si>
  <si>
    <t>S-IIS-SCREAF-T1</t>
  </si>
  <si>
    <t>S-IIS-SCREAF</t>
  </si>
  <si>
    <t>S-IIS</t>
  </si>
  <si>
    <t>S-IIS-OTHEAF-T2</t>
  </si>
  <si>
    <t>S-IIS-OTHEAF-T1</t>
  </si>
  <si>
    <t>S-IIS-DRIEAF-T2</t>
  </si>
  <si>
    <t>S-IIS-DRIEAF-T1</t>
  </si>
  <si>
    <t>S-IIS-COREAF-T2</t>
  </si>
  <si>
    <t>S-IIS-COREAF-T1</t>
  </si>
  <si>
    <t>S-IIS-BFBOF-E-T2</t>
  </si>
  <si>
    <t>S-IIS-BFBOF-E-T1</t>
  </si>
  <si>
    <t>UC__RHSRT</t>
  </si>
  <si>
    <t>PRC_RESID</t>
  </si>
  <si>
    <t>NCAP_BND</t>
  </si>
  <si>
    <t>ACT_BND</t>
  </si>
  <si>
    <t>CO2SP</t>
  </si>
  <si>
    <t>FLO_EMIS</t>
  </si>
  <si>
    <t>COM_PROJ</t>
  </si>
  <si>
    <t>UC_R_EACH</t>
  </si>
  <si>
    <t>INDWAS</t>
  </si>
  <si>
    <t>INDOLP</t>
  </si>
  <si>
    <t>GAS</t>
  </si>
  <si>
    <t>COA</t>
  </si>
  <si>
    <t>INDBIW</t>
  </si>
  <si>
    <t>INDBIB</t>
  </si>
  <si>
    <t xml:space="preserve">            2 084 696.29 </t>
  </si>
  <si>
    <t xml:space="preserve">            1 791 992.15 </t>
  </si>
  <si>
    <t xml:space="preserve">            1 428 422.45 </t>
  </si>
  <si>
    <t xml:space="preserve">            1 070 780.21 </t>
  </si>
  <si>
    <t xml:space="preserve">               897 391.13 </t>
  </si>
  <si>
    <t xml:space="preserve">               737 913.58 </t>
  </si>
  <si>
    <t>tonnes/annum</t>
  </si>
  <si>
    <t>Ferrous (75% of total)</t>
  </si>
  <si>
    <t xml:space="preserve">            2 779 595.06 </t>
  </si>
  <si>
    <t xml:space="preserve">            2 389 322.87 </t>
  </si>
  <si>
    <t xml:space="preserve">            1 904 563.27 </t>
  </si>
  <si>
    <t xml:space="preserve">            1 427 706.95 </t>
  </si>
  <si>
    <t xml:space="preserve">            1 196 521.51 </t>
  </si>
  <si>
    <t xml:space="preserve">               983 884.77 </t>
  </si>
  <si>
    <t>Metals Recycled</t>
  </si>
  <si>
    <t xml:space="preserve">since about 2000 the highest scrap ratio was est. to be 23%. </t>
  </si>
  <si>
    <t>Maximum scrap ratio</t>
  </si>
  <si>
    <t xml:space="preserve">Original Tamaryns FLO_FUNCS for new techs: </t>
  </si>
  <si>
    <t>R/tonne</t>
  </si>
  <si>
    <t>http://www.scrapmetalpricer.com/za/</t>
  </si>
  <si>
    <t>Convert 2010 to 2015</t>
  </si>
  <si>
    <t>COSTS - original Tamaryns</t>
  </si>
  <si>
    <t>New T</t>
  </si>
  <si>
    <t>Existing T</t>
  </si>
  <si>
    <t>SATIM2006 FLO_SHAR values</t>
  </si>
  <si>
    <t>2017 into model</t>
  </si>
  <si>
    <t>Into the model</t>
  </si>
  <si>
    <t>NEW FLO_SHAR</t>
  </si>
  <si>
    <t>Residual</t>
  </si>
  <si>
    <t>in 2015</t>
  </si>
  <si>
    <t>Total prod:</t>
  </si>
  <si>
    <t>use here</t>
  </si>
  <si>
    <t>last 8years</t>
  </si>
  <si>
    <t>Lower bound</t>
  </si>
  <si>
    <t>UP NCAP_AFA</t>
  </si>
  <si>
    <t>capacity factor 2012</t>
  </si>
  <si>
    <t>ACT_BND FX</t>
  </si>
  <si>
    <t>output 2012</t>
  </si>
  <si>
    <t>short names</t>
  </si>
  <si>
    <t>SATIM</t>
  </si>
  <si>
    <t>Activity</t>
  </si>
  <si>
    <t>Actual output</t>
  </si>
  <si>
    <t>2017 Values from Steel workbook</t>
  </si>
  <si>
    <t xml:space="preserve">the EB from I&amp;S to be approx. equal to the 2012EB assigned for I&amp;S. </t>
  </si>
  <si>
    <t>Adjustments were made to flo_func + flo_shar of the process routes to more or less get</t>
  </si>
  <si>
    <t>Blue text - data linked to the update workbook</t>
  </si>
  <si>
    <t xml:space="preserve">calibrate the EB to 2012 at all. </t>
  </si>
  <si>
    <t>yellow cells link to input sheet</t>
  </si>
  <si>
    <t xml:space="preserve">Simply scaling down the output of I&amp;S sector from 2006 to 2012 does not </t>
  </si>
  <si>
    <t>Iron and steel update of numbers into model for 2012 update</t>
  </si>
  <si>
    <t>ITEMS</t>
  </si>
  <si>
    <t>TS DATA</t>
  </si>
  <si>
    <t>TID DATA</t>
  </si>
  <si>
    <t xml:space="preserve">Constraint Bound: </t>
  </si>
  <si>
    <t>IE</t>
  </si>
  <si>
    <t>BND</t>
  </si>
  <si>
    <t>Into Model</t>
  </si>
  <si>
    <t>PAMS</t>
  </si>
  <si>
    <t xml:space="preserve">Tamryns - original numbers </t>
  </si>
  <si>
    <t>Shares of uptake of EE techs for EXISTING techs</t>
  </si>
  <si>
    <t>Values for FLO_FUNC's</t>
  </si>
  <si>
    <t>Energy intensity for NEW techs.</t>
  </si>
  <si>
    <t>---&gt; the choice of adjustment</t>
  </si>
  <si>
    <t>Iron and Steel EE techs</t>
  </si>
  <si>
    <t>PAMS on?</t>
  </si>
  <si>
    <t>Tamaryns</t>
  </si>
  <si>
    <t>PAMS list:</t>
  </si>
  <si>
    <t>original numbers</t>
  </si>
  <si>
    <t>For PAMS work</t>
  </si>
  <si>
    <t>Iron metal</t>
  </si>
  <si>
    <t>https://www.steelonthenet.com/files/pig-iron.html</t>
  </si>
  <si>
    <t>Brazil</t>
  </si>
  <si>
    <t>$/tonne in 2019</t>
  </si>
  <si>
    <t>export</t>
  </si>
  <si>
    <t>Import</t>
  </si>
  <si>
    <t>Russia</t>
  </si>
  <si>
    <t>Ukraine</t>
  </si>
  <si>
    <t>Turkey</t>
  </si>
  <si>
    <t>Exports</t>
  </si>
  <si>
    <t>Prices for pig iron</t>
  </si>
  <si>
    <t>2019$ to 2015 ZAR</t>
  </si>
  <si>
    <t>ZAR/tonne</t>
  </si>
  <si>
    <t>PEXGDRI</t>
  </si>
  <si>
    <t>IDUM</t>
  </si>
  <si>
    <t>Dummy commodity</t>
  </si>
  <si>
    <t>Export of Green DR Iron</t>
  </si>
  <si>
    <t>IISBFSLG</t>
  </si>
  <si>
    <t>COM,MAT,ANNUAL,MAT_WT</t>
  </si>
  <si>
    <t>Industry - Iron and Steel - BF slag</t>
  </si>
  <si>
    <t>Item</t>
  </si>
  <si>
    <t>Author</t>
  </si>
  <si>
    <t>Date</t>
  </si>
  <si>
    <t>Added blast furnace slag to link with cement substitutes</t>
  </si>
  <si>
    <t>Bmc</t>
  </si>
  <si>
    <t>fixed saldanha output to zero for 2021</t>
  </si>
  <si>
    <t xml:space="preserve">added lower AFA to BF's. </t>
  </si>
  <si>
    <t xml:space="preserve">New BF's now can only start in 2025. was getting new BF's coming in. </t>
  </si>
  <si>
    <t>turned off these PAMS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</si>
</sst>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6" formatCode="&quot;R&quot;#,##0;[Red]\-&quot;R&quot;#,##0"/>
    <numFmt numFmtId="8" formatCode="&quot;R&quot;#,##0.00;[Red]\-&quot;R&quot;#,##0.00"/>
    <numFmt numFmtId="43" formatCode="_-* #,##0.00_-;\-* #,##0.00_-;_-* &quot;-&quot;??_-;_-@_-"/>
    <numFmt numFmtId="164" formatCode="_ * #,##0.00_ ;_ * \-#,##0.00_ ;_ * &quot;-&quot;??_ ;_ @_ "/>
    <numFmt numFmtId="165" formatCode="_ * #,##0_ ;_ * \-#,##0_ ;_ * &quot;-&quot;??_ ;_ @_ "/>
    <numFmt numFmtId="166" formatCode="0.0"/>
    <numFmt numFmtId="167" formatCode="0.000"/>
    <numFmt numFmtId="168" formatCode="_ * #,##0.0_ ;_ * \-#,##0.0_ ;_ * &quot;-&quot;??_ ;_ @_ "/>
    <numFmt numFmtId="169" formatCode="#,##0.0"/>
    <numFmt numFmtId="170" formatCode="0.0%"/>
    <numFmt numFmtId="171" formatCode="_ * #,##0.000_ ;_ * \-#,##0.000_ ;_ * &quot;-&quot;??_ ;_ @_ "/>
    <numFmt numFmtId="172" formatCode="_-* #,##0.000_-;\-* #,##0.000_-;_-* &quot;-&quot;??_-;_-@_-"/>
    <numFmt numFmtId="173" formatCode="_-* #,##0_-;\-* #,##0_-;_-* &quot;-&quot;??_-;_-@_-"/>
    <numFmt numFmtId="174" formatCode="_ * #,##0.0000_ ;_ * \-#,##0.0000_ ;_ * &quot;-&quot;??_ ;_ @_ "/>
    <numFmt numFmtId="175" formatCode="_-* #,##0_-;\-* #,##0_-;_-* &quot;-&quot;???_-;_-@_-"/>
    <numFmt numFmtId="176" formatCode="_(* #,##0_);_(* \(#,##0\);_(* &quot;-&quot;??_);_(@_)"/>
    <numFmt numFmtId="177" formatCode="_(* #,##0.00_);_(* \(#,##0.00\);_(* &quot;-&quot;??_);_(@_)"/>
    <numFmt numFmtId="178" formatCode="_(* #,##0.0_);_(* \(#,##0.0\);_(* &quot;-&quot;??_);_(@_)"/>
  </numFmts>
  <fonts count="5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Verdana"/>
      <family val="2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name val="Verdana"/>
      <family val="2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theme="2" tint="-0.499984740745262"/>
      <name val="Arial"/>
      <family val="2"/>
    </font>
    <font>
      <b/>
      <sz val="8"/>
      <color theme="2" tint="-0.499984740745262"/>
      <name val="Arial"/>
      <family val="2"/>
    </font>
    <font>
      <b/>
      <sz val="12"/>
      <color theme="1"/>
      <name val="Arial"/>
      <family val="2"/>
    </font>
    <font>
      <sz val="11"/>
      <color theme="0"/>
      <name val="Calibri"/>
      <family val="2"/>
      <scheme val="minor"/>
    </font>
    <font>
      <b/>
      <i/>
      <sz val="12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0070C0"/>
      <name val="Arial"/>
      <family val="2"/>
    </font>
    <font>
      <sz val="11"/>
      <color rgb="FF0070C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4" tint="-0.249977111117893"/>
      <name val="Arial"/>
      <family val="2"/>
    </font>
    <font>
      <sz val="11"/>
      <color theme="4" tint="-0.249977111117893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0"/>
      <color theme="9" tint="-0.249977111117893"/>
      <name val="Arial"/>
      <family val="2"/>
    </font>
    <font>
      <sz val="11"/>
      <color rgb="FFFFC000"/>
      <name val="Calibri"/>
      <family val="2"/>
      <scheme val="minor"/>
    </font>
    <font>
      <b/>
      <sz val="11"/>
      <color rgb="FF333333"/>
      <name val="Arial"/>
      <family val="2"/>
    </font>
    <font>
      <sz val="11"/>
      <color rgb="FF333333"/>
      <name val="Arial"/>
      <family val="2"/>
    </font>
    <font>
      <u/>
      <sz val="12"/>
      <color theme="10"/>
      <name val="Calibri"/>
      <family val="2"/>
      <scheme val="minor"/>
    </font>
    <font>
      <i/>
      <sz val="9"/>
      <color theme="1"/>
      <name val="Consolas"/>
      <family val="3"/>
    </font>
    <font>
      <sz val="10"/>
      <name val="Verdana"/>
      <family val="2"/>
    </font>
    <font>
      <sz val="11"/>
      <color rgb="FF006100"/>
      <name val="Calibri"/>
      <family val="2"/>
      <scheme val="minor"/>
    </font>
    <font>
      <sz val="11"/>
      <color rgb="FF000000"/>
      <name val="Calibri"/>
      <family val="2"/>
    </font>
    <font>
      <sz val="11"/>
      <name val="Arial"/>
      <family val="2"/>
    </font>
    <font>
      <b/>
      <sz val="10"/>
      <color rgb="FF0070C0"/>
      <name val="Verdana"/>
      <family val="2"/>
    </font>
    <font>
      <b/>
      <sz val="12"/>
      <name val="Verdana"/>
      <family val="2"/>
    </font>
    <font>
      <sz val="11"/>
      <color rgb="FF000000"/>
      <name val="Verdana"/>
      <family val="2"/>
    </font>
  </fonts>
  <fills count="3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96C8FF"/>
        <bgColor indexed="64"/>
      </patternFill>
    </fill>
    <fill>
      <patternFill patternType="solid">
        <fgColor rgb="FFA8C4D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</patternFill>
    </fill>
    <fill>
      <patternFill patternType="solid">
        <fgColor rgb="FFFFFFFF"/>
        <bgColor indexed="64"/>
      </patternFill>
    </fill>
  </fills>
  <borders count="6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/>
      <top/>
      <bottom/>
      <diagonal/>
    </border>
    <border>
      <left style="thin">
        <color theme="4"/>
      </left>
      <right/>
      <top style="thick">
        <color theme="4" tint="0.499984740745262"/>
      </top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theme="4"/>
      </top>
      <bottom/>
      <diagonal/>
    </border>
    <border>
      <left style="thin">
        <color indexed="64"/>
      </left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rgb="FF959595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/>
      <diagonal/>
    </border>
    <border>
      <left/>
      <right/>
      <top/>
      <bottom style="thin">
        <color theme="4"/>
      </bottom>
      <diagonal/>
    </border>
    <border>
      <left style="medium">
        <color rgb="FF808080"/>
      </left>
      <right style="medium">
        <color rgb="FF808080"/>
      </right>
      <top style="medium">
        <color rgb="FF808080"/>
      </top>
      <bottom style="medium">
        <color rgb="FF808080"/>
      </bottom>
      <diagonal/>
    </border>
  </borders>
  <cellStyleXfs count="30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0" fontId="7" fillId="0" borderId="0"/>
    <xf numFmtId="0" fontId="8" fillId="0" borderId="10" applyNumberFormat="0" applyFill="0" applyAlignment="0" applyProtection="0"/>
    <xf numFmtId="0" fontId="9" fillId="0" borderId="11" applyNumberFormat="0" applyFill="0" applyAlignment="0" applyProtection="0"/>
    <xf numFmtId="0" fontId="10" fillId="0" borderId="0"/>
    <xf numFmtId="0" fontId="14" fillId="0" borderId="0" applyNumberFormat="0" applyFill="0" applyBorder="0" applyAlignment="0" applyProtection="0"/>
    <xf numFmtId="0" fontId="11" fillId="3" borderId="12" applyNumberFormat="0" applyAlignment="0" applyProtection="0"/>
    <xf numFmtId="9" fontId="10" fillId="0" borderId="0" applyFont="0" applyFill="0" applyBorder="0" applyAlignment="0" applyProtection="0"/>
    <xf numFmtId="0" fontId="15" fillId="4" borderId="0" applyNumberFormat="0" applyBorder="0" applyAlignment="0" applyProtection="0"/>
    <xf numFmtId="0" fontId="10" fillId="5" borderId="0" applyNumberFormat="0" applyBorder="0" applyAlignment="0" applyProtection="0"/>
    <xf numFmtId="0" fontId="15" fillId="6" borderId="0" applyNumberFormat="0" applyBorder="0" applyAlignment="0" applyProtection="0"/>
    <xf numFmtId="0" fontId="7" fillId="0" borderId="0"/>
    <xf numFmtId="0" fontId="1" fillId="0" borderId="0"/>
    <xf numFmtId="0" fontId="22" fillId="0" borderId="0" applyNumberFormat="0" applyFill="0" applyBorder="0" applyAlignment="0" applyProtection="0"/>
    <xf numFmtId="9" fontId="7" fillId="0" borderId="0" applyFont="0" applyFill="0" applyBorder="0" applyAlignment="0" applyProtection="0"/>
    <xf numFmtId="0" fontId="33" fillId="19" borderId="0" applyAlignment="0" applyProtection="0"/>
    <xf numFmtId="0" fontId="47" fillId="0" borderId="0" applyNumberFormat="0" applyFill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0" fontId="49" fillId="0" borderId="0"/>
    <xf numFmtId="0" fontId="1" fillId="0" borderId="0"/>
    <xf numFmtId="0" fontId="1" fillId="0" borderId="0"/>
    <xf numFmtId="0" fontId="50" fillId="28" borderId="0" applyNumberFormat="0" applyBorder="0" applyAlignment="0" applyProtection="0"/>
    <xf numFmtId="177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708">
    <xf numFmtId="0" fontId="0" fillId="0" borderId="0" xfId="0"/>
    <xf numFmtId="165" fontId="0" fillId="0" borderId="0" xfId="1" applyNumberFormat="1" applyFont="1" applyBorder="1"/>
    <xf numFmtId="0" fontId="5" fillId="0" borderId="0" xfId="0" applyFo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4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2" borderId="7" xfId="0" applyFont="1" applyFill="1" applyBorder="1" applyAlignment="1">
      <alignment horizontal="center"/>
    </xf>
    <xf numFmtId="0" fontId="2" fillId="0" borderId="7" xfId="0" applyFont="1" applyBorder="1"/>
    <xf numFmtId="0" fontId="0" fillId="0" borderId="0" xfId="0" applyBorder="1"/>
    <xf numFmtId="165" fontId="2" fillId="0" borderId="9" xfId="1" applyNumberFormat="1" applyFont="1" applyBorder="1"/>
    <xf numFmtId="0" fontId="7" fillId="0" borderId="0" xfId="4"/>
    <xf numFmtId="0" fontId="0" fillId="0" borderId="1" xfId="0" applyBorder="1"/>
    <xf numFmtId="0" fontId="0" fillId="0" borderId="2" xfId="0" applyBorder="1"/>
    <xf numFmtId="0" fontId="6" fillId="0" borderId="0" xfId="0" applyFont="1" applyBorder="1"/>
    <xf numFmtId="9" fontId="0" fillId="0" borderId="0" xfId="2" applyFont="1" applyBorder="1"/>
    <xf numFmtId="0" fontId="2" fillId="0" borderId="0" xfId="0" applyFont="1" applyBorder="1"/>
    <xf numFmtId="0" fontId="0" fillId="0" borderId="0" xfId="0" applyFill="1" applyBorder="1"/>
    <xf numFmtId="165" fontId="0" fillId="0" borderId="0" xfId="0" applyNumberFormat="1" applyBorder="1"/>
    <xf numFmtId="0" fontId="8" fillId="0" borderId="10" xfId="5"/>
    <xf numFmtId="0" fontId="10" fillId="0" borderId="0" xfId="7"/>
    <xf numFmtId="0" fontId="9" fillId="0" borderId="11" xfId="6"/>
    <xf numFmtId="0" fontId="11" fillId="7" borderId="13" xfId="7" applyFont="1" applyFill="1" applyBorder="1"/>
    <xf numFmtId="0" fontId="11" fillId="7" borderId="14" xfId="7" applyFont="1" applyFill="1" applyBorder="1"/>
    <xf numFmtId="0" fontId="11" fillId="7" borderId="15" xfId="7" applyFont="1" applyFill="1" applyBorder="1"/>
    <xf numFmtId="0" fontId="10" fillId="0" borderId="13" xfId="7" applyFont="1" applyBorder="1"/>
    <xf numFmtId="0" fontId="10" fillId="0" borderId="14" xfId="7" applyFont="1" applyBorder="1"/>
    <xf numFmtId="0" fontId="10" fillId="0" borderId="15" xfId="7" applyFont="1" applyBorder="1"/>
    <xf numFmtId="0" fontId="12" fillId="0" borderId="13" xfId="7" applyFont="1" applyBorder="1"/>
    <xf numFmtId="0" fontId="12" fillId="0" borderId="14" xfId="7" applyFont="1" applyBorder="1"/>
    <xf numFmtId="0" fontId="12" fillId="0" borderId="15" xfId="7" applyFont="1" applyBorder="1"/>
    <xf numFmtId="0" fontId="12" fillId="0" borderId="0" xfId="7" applyFont="1" applyFill="1" applyBorder="1"/>
    <xf numFmtId="0" fontId="13" fillId="0" borderId="16" xfId="7" applyFont="1" applyBorder="1"/>
    <xf numFmtId="0" fontId="13" fillId="0" borderId="17" xfId="7" applyFont="1" applyBorder="1"/>
    <xf numFmtId="166" fontId="13" fillId="0" borderId="17" xfId="7" applyNumberFormat="1" applyFont="1" applyBorder="1"/>
    <xf numFmtId="166" fontId="13" fillId="0" borderId="18" xfId="7" applyNumberFormat="1" applyFont="1" applyBorder="1"/>
    <xf numFmtId="0" fontId="14" fillId="0" borderId="0" xfId="8"/>
    <xf numFmtId="0" fontId="10" fillId="0" borderId="13" xfId="7" applyNumberFormat="1" applyFont="1" applyBorder="1" applyAlignment="1">
      <alignment horizontal="left" indent="1"/>
    </xf>
    <xf numFmtId="2" fontId="10" fillId="0" borderId="15" xfId="7" applyNumberFormat="1" applyFont="1" applyBorder="1"/>
    <xf numFmtId="0" fontId="10" fillId="0" borderId="16" xfId="7" applyNumberFormat="1" applyFont="1" applyBorder="1" applyAlignment="1">
      <alignment horizontal="left" indent="1"/>
    </xf>
    <xf numFmtId="2" fontId="10" fillId="0" borderId="18" xfId="7" applyNumberFormat="1" applyFont="1" applyBorder="1"/>
    <xf numFmtId="0" fontId="10" fillId="0" borderId="0" xfId="7" applyNumberFormat="1" applyFont="1" applyBorder="1" applyAlignment="1">
      <alignment horizontal="left" indent="1"/>
    </xf>
    <xf numFmtId="2" fontId="10" fillId="0" borderId="0" xfId="7" applyNumberFormat="1" applyFont="1" applyBorder="1"/>
    <xf numFmtId="0" fontId="10" fillId="0" borderId="0" xfId="7" applyNumberFormat="1" applyAlignment="1">
      <alignment horizontal="left" indent="1"/>
    </xf>
    <xf numFmtId="2" fontId="11" fillId="3" borderId="12" xfId="9" applyNumberFormat="1"/>
    <xf numFmtId="0" fontId="13" fillId="0" borderId="0" xfId="7" applyFont="1" applyBorder="1"/>
    <xf numFmtId="166" fontId="13" fillId="0" borderId="0" xfId="7" applyNumberFormat="1" applyFont="1" applyBorder="1"/>
    <xf numFmtId="0" fontId="10" fillId="0" borderId="0" xfId="7" applyFont="1" applyBorder="1"/>
    <xf numFmtId="166" fontId="10" fillId="0" borderId="0" xfId="7" applyNumberFormat="1" applyFont="1" applyFill="1" applyBorder="1"/>
    <xf numFmtId="167" fontId="11" fillId="3" borderId="12" xfId="9" applyNumberFormat="1"/>
    <xf numFmtId="166" fontId="10" fillId="0" borderId="0" xfId="7" applyNumberFormat="1" applyFont="1" applyBorder="1"/>
    <xf numFmtId="0" fontId="14" fillId="0" borderId="0" xfId="8" applyBorder="1"/>
    <xf numFmtId="0" fontId="14" fillId="0" borderId="0" xfId="8" applyFill="1" applyBorder="1"/>
    <xf numFmtId="0" fontId="11" fillId="7" borderId="19" xfId="7" applyFont="1" applyFill="1" applyBorder="1"/>
    <xf numFmtId="2" fontId="10" fillId="0" borderId="14" xfId="7" applyNumberFormat="1" applyFont="1" applyBorder="1"/>
    <xf numFmtId="9" fontId="10" fillId="0" borderId="14" xfId="7" applyNumberFormat="1" applyFont="1" applyBorder="1"/>
    <xf numFmtId="9" fontId="0" fillId="0" borderId="14" xfId="10" applyFont="1" applyBorder="1"/>
    <xf numFmtId="0" fontId="12" fillId="0" borderId="16" xfId="7" applyFont="1" applyBorder="1"/>
    <xf numFmtId="0" fontId="12" fillId="0" borderId="17" xfId="7" applyFont="1" applyBorder="1"/>
    <xf numFmtId="0" fontId="12" fillId="0" borderId="18" xfId="7" applyFont="1" applyBorder="1"/>
    <xf numFmtId="0" fontId="10" fillId="0" borderId="16" xfId="7" applyFont="1" applyBorder="1"/>
    <xf numFmtId="0" fontId="10" fillId="0" borderId="17" xfId="7" applyFont="1" applyBorder="1"/>
    <xf numFmtId="0" fontId="10" fillId="0" borderId="18" xfId="7" applyFont="1" applyBorder="1"/>
    <xf numFmtId="0" fontId="10" fillId="0" borderId="19" xfId="7" applyFont="1" applyFill="1" applyBorder="1"/>
    <xf numFmtId="0" fontId="12" fillId="0" borderId="0" xfId="7" applyFont="1" applyBorder="1"/>
    <xf numFmtId="2" fontId="12" fillId="0" borderId="0" xfId="7" applyNumberFormat="1" applyFont="1" applyBorder="1"/>
    <xf numFmtId="0" fontId="10" fillId="0" borderId="20" xfId="7" applyFont="1" applyBorder="1"/>
    <xf numFmtId="166" fontId="10" fillId="0" borderId="17" xfId="7" applyNumberFormat="1" applyFont="1" applyBorder="1"/>
    <xf numFmtId="0" fontId="15" fillId="4" borderId="0" xfId="11"/>
    <xf numFmtId="0" fontId="10" fillId="0" borderId="16" xfId="7" applyBorder="1"/>
    <xf numFmtId="2" fontId="10" fillId="0" borderId="17" xfId="7" applyNumberFormat="1" applyBorder="1"/>
    <xf numFmtId="0" fontId="10" fillId="0" borderId="17" xfId="7" applyBorder="1"/>
    <xf numFmtId="166" fontId="10" fillId="0" borderId="17" xfId="7" applyNumberFormat="1" applyBorder="1"/>
    <xf numFmtId="2" fontId="12" fillId="0" borderId="17" xfId="7" applyNumberFormat="1" applyFont="1" applyBorder="1"/>
    <xf numFmtId="2" fontId="12" fillId="0" borderId="18" xfId="7" applyNumberFormat="1" applyFont="1" applyBorder="1"/>
    <xf numFmtId="166" fontId="10" fillId="0" borderId="0" xfId="7" applyNumberFormat="1"/>
    <xf numFmtId="0" fontId="10" fillId="5" borderId="0" xfId="12"/>
    <xf numFmtId="0" fontId="10" fillId="5" borderId="16" xfId="12" applyBorder="1"/>
    <xf numFmtId="2" fontId="10" fillId="5" borderId="17" xfId="12" applyNumberFormat="1" applyBorder="1"/>
    <xf numFmtId="2" fontId="10" fillId="5" borderId="18" xfId="12" applyNumberFormat="1" applyBorder="1"/>
    <xf numFmtId="0" fontId="15" fillId="6" borderId="0" xfId="13"/>
    <xf numFmtId="0" fontId="15" fillId="6" borderId="16" xfId="13" applyBorder="1"/>
    <xf numFmtId="0" fontId="15" fillId="6" borderId="17" xfId="13" applyBorder="1"/>
    <xf numFmtId="2" fontId="15" fillId="6" borderId="18" xfId="13" applyNumberFormat="1" applyBorder="1"/>
    <xf numFmtId="166" fontId="15" fillId="6" borderId="17" xfId="13" applyNumberFormat="1" applyBorder="1"/>
    <xf numFmtId="166" fontId="15" fillId="6" borderId="18" xfId="13" applyNumberFormat="1" applyBorder="1"/>
    <xf numFmtId="0" fontId="13" fillId="0" borderId="0" xfId="7" applyFont="1"/>
    <xf numFmtId="0" fontId="15" fillId="4" borderId="21" xfId="11" applyBorder="1"/>
    <xf numFmtId="0" fontId="15" fillId="4" borderId="16" xfId="11" applyBorder="1"/>
    <xf numFmtId="0" fontId="10" fillId="5" borderId="17" xfId="12" applyBorder="1"/>
    <xf numFmtId="0" fontId="10" fillId="0" borderId="21" xfId="7" applyBorder="1"/>
    <xf numFmtId="0" fontId="15" fillId="4" borderId="17" xfId="11" applyBorder="1"/>
    <xf numFmtId="0" fontId="15" fillId="4" borderId="18" xfId="11" applyBorder="1"/>
    <xf numFmtId="166" fontId="10" fillId="0" borderId="18" xfId="7" applyNumberFormat="1" applyBorder="1"/>
    <xf numFmtId="167" fontId="10" fillId="0" borderId="0" xfId="7" applyNumberFormat="1" applyFill="1" applyBorder="1"/>
    <xf numFmtId="0" fontId="10" fillId="0" borderId="16" xfId="7" applyFill="1" applyBorder="1"/>
    <xf numFmtId="0" fontId="16" fillId="0" borderId="0" xfId="7" applyFont="1"/>
    <xf numFmtId="2" fontId="10" fillId="0" borderId="0" xfId="7" applyNumberFormat="1"/>
    <xf numFmtId="1" fontId="10" fillId="0" borderId="0" xfId="7" applyNumberFormat="1"/>
    <xf numFmtId="164" fontId="10" fillId="0" borderId="14" xfId="1" applyFont="1" applyBorder="1"/>
    <xf numFmtId="164" fontId="10" fillId="0" borderId="15" xfId="1" applyFont="1" applyBorder="1"/>
    <xf numFmtId="164" fontId="12" fillId="0" borderId="17" xfId="1" applyFont="1" applyBorder="1"/>
    <xf numFmtId="164" fontId="12" fillId="0" borderId="18" xfId="1" applyFont="1" applyBorder="1"/>
    <xf numFmtId="0" fontId="7" fillId="0" borderId="1" xfId="4" applyBorder="1"/>
    <xf numFmtId="0" fontId="7" fillId="0" borderId="2" xfId="4" applyBorder="1"/>
    <xf numFmtId="0" fontId="7" fillId="0" borderId="3" xfId="4" applyBorder="1"/>
    <xf numFmtId="0" fontId="7" fillId="0" borderId="4" xfId="4" applyBorder="1"/>
    <xf numFmtId="0" fontId="7" fillId="0" borderId="0" xfId="4" applyBorder="1"/>
    <xf numFmtId="0" fontId="7" fillId="0" borderId="5" xfId="4" applyBorder="1"/>
    <xf numFmtId="0" fontId="17" fillId="2" borderId="0" xfId="4" applyFont="1" applyFill="1" applyBorder="1"/>
    <xf numFmtId="0" fontId="1" fillId="0" borderId="0" xfId="15"/>
    <xf numFmtId="0" fontId="7" fillId="0" borderId="0" xfId="14" applyBorder="1"/>
    <xf numFmtId="0" fontId="0" fillId="0" borderId="0" xfId="14" applyFont="1" applyBorder="1"/>
    <xf numFmtId="0" fontId="7" fillId="0" borderId="6" xfId="4" applyBorder="1"/>
    <xf numFmtId="0" fontId="7" fillId="0" borderId="7" xfId="4" applyBorder="1"/>
    <xf numFmtId="0" fontId="7" fillId="0" borderId="8" xfId="4" applyBorder="1"/>
    <xf numFmtId="0" fontId="17" fillId="8" borderId="0" xfId="14" applyFont="1" applyFill="1" applyBorder="1"/>
    <xf numFmtId="0" fontId="18" fillId="9" borderId="0" xfId="14" applyFont="1" applyFill="1" applyBorder="1"/>
    <xf numFmtId="0" fontId="17" fillId="8" borderId="4" xfId="14" applyFont="1" applyFill="1" applyBorder="1"/>
    <xf numFmtId="0" fontId="18" fillId="9" borderId="4" xfId="14" applyFont="1" applyFill="1" applyBorder="1"/>
    <xf numFmtId="0" fontId="7" fillId="0" borderId="4" xfId="14" applyBorder="1"/>
    <xf numFmtId="0" fontId="7" fillId="0" borderId="7" xfId="14" applyBorder="1"/>
    <xf numFmtId="167" fontId="7" fillId="0" borderId="7" xfId="14" applyNumberFormat="1" applyBorder="1"/>
    <xf numFmtId="0" fontId="20" fillId="0" borderId="0" xfId="0" applyFont="1"/>
    <xf numFmtId="0" fontId="17" fillId="0" borderId="0" xfId="4" applyFont="1" applyBorder="1"/>
    <xf numFmtId="0" fontId="2" fillId="0" borderId="6" xfId="0" applyFont="1" applyBorder="1"/>
    <xf numFmtId="0" fontId="21" fillId="0" borderId="4" xfId="0" applyFont="1" applyBorder="1"/>
    <xf numFmtId="0" fontId="3" fillId="0" borderId="0" xfId="0" applyFont="1" applyBorder="1"/>
    <xf numFmtId="0" fontId="0" fillId="0" borderId="22" xfId="0" applyBorder="1"/>
    <xf numFmtId="0" fontId="22" fillId="0" borderId="0" xfId="16"/>
    <xf numFmtId="165" fontId="0" fillId="0" borderId="0" xfId="1" applyNumberFormat="1" applyFont="1"/>
    <xf numFmtId="165" fontId="0" fillId="0" borderId="7" xfId="1" applyNumberFormat="1" applyFont="1" applyBorder="1"/>
    <xf numFmtId="165" fontId="0" fillId="0" borderId="7" xfId="0" applyNumberFormat="1" applyBorder="1"/>
    <xf numFmtId="0" fontId="2" fillId="0" borderId="0" xfId="0" applyFont="1"/>
    <xf numFmtId="9" fontId="0" fillId="0" borderId="0" xfId="2" applyFont="1"/>
    <xf numFmtId="0" fontId="2" fillId="0" borderId="6" xfId="0" applyFont="1" applyBorder="1" applyAlignment="1">
      <alignment horizontal="center" vertical="center" wrapText="1"/>
    </xf>
    <xf numFmtId="165" fontId="0" fillId="0" borderId="8" xfId="0" applyNumberFormat="1" applyBorder="1"/>
    <xf numFmtId="0" fontId="2" fillId="0" borderId="6" xfId="0" applyFont="1" applyBorder="1" applyAlignment="1">
      <alignment horizontal="center" wrapText="1"/>
    </xf>
    <xf numFmtId="165" fontId="0" fillId="0" borderId="8" xfId="1" applyNumberFormat="1" applyFont="1" applyBorder="1"/>
    <xf numFmtId="0" fontId="3" fillId="10" borderId="4" xfId="0" applyFont="1" applyFill="1" applyBorder="1"/>
    <xf numFmtId="0" fontId="7" fillId="10" borderId="7" xfId="4" applyFill="1" applyBorder="1"/>
    <xf numFmtId="0" fontId="3" fillId="10" borderId="6" xfId="0" applyFont="1" applyFill="1" applyBorder="1"/>
    <xf numFmtId="0" fontId="0" fillId="10" borderId="7" xfId="0" applyFill="1" applyBorder="1"/>
    <xf numFmtId="0" fontId="2" fillId="0" borderId="5" xfId="0" applyFont="1" applyBorder="1"/>
    <xf numFmtId="17" fontId="0" fillId="0" borderId="0" xfId="0" applyNumberFormat="1"/>
    <xf numFmtId="0" fontId="23" fillId="0" borderId="0" xfId="0" applyFont="1"/>
    <xf numFmtId="0" fontId="24" fillId="0" borderId="0" xfId="0" applyFont="1"/>
    <xf numFmtId="0" fontId="2" fillId="0" borderId="22" xfId="0" applyFont="1" applyBorder="1"/>
    <xf numFmtId="0" fontId="27" fillId="0" borderId="0" xfId="4" applyFont="1"/>
    <xf numFmtId="0" fontId="28" fillId="11" borderId="27" xfId="4" applyFont="1" applyFill="1" applyBorder="1" applyAlignment="1">
      <alignment horizontal="center"/>
    </xf>
    <xf numFmtId="0" fontId="28" fillId="11" borderId="31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 wrapText="1"/>
    </xf>
    <xf numFmtId="0" fontId="29" fillId="11" borderId="22" xfId="4" applyFont="1" applyFill="1" applyBorder="1" applyAlignment="1">
      <alignment horizontal="center" wrapText="1"/>
    </xf>
    <xf numFmtId="0" fontId="29" fillId="11" borderId="35" xfId="4" applyFont="1" applyFill="1" applyBorder="1" applyAlignment="1">
      <alignment horizontal="center" wrapText="1"/>
    </xf>
    <xf numFmtId="0" fontId="28" fillId="11" borderId="36" xfId="4" applyFont="1" applyFill="1" applyBorder="1" applyAlignment="1">
      <alignment horizontal="center" wrapText="1"/>
    </xf>
    <xf numFmtId="0" fontId="28" fillId="11" borderId="35" xfId="4" applyFont="1" applyFill="1" applyBorder="1" applyAlignment="1">
      <alignment horizontal="center" wrapText="1"/>
    </xf>
    <xf numFmtId="0" fontId="28" fillId="11" borderId="37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8" fillId="11" borderId="9" xfId="4" applyFont="1" applyFill="1" applyBorder="1" applyAlignment="1">
      <alignment horizontal="center" wrapText="1"/>
    </xf>
    <xf numFmtId="0" fontId="28" fillId="11" borderId="24" xfId="4" applyFont="1" applyFill="1" applyBorder="1" applyAlignment="1">
      <alignment horizontal="center" wrapText="1"/>
    </xf>
    <xf numFmtId="0" fontId="28" fillId="11" borderId="23" xfId="4" applyFont="1" applyFill="1" applyBorder="1" applyAlignment="1">
      <alignment horizontal="center" wrapText="1"/>
    </xf>
    <xf numFmtId="0" fontId="29" fillId="11" borderId="23" xfId="4" applyFont="1" applyFill="1" applyBorder="1" applyAlignment="1">
      <alignment horizontal="center" wrapText="1"/>
    </xf>
    <xf numFmtId="0" fontId="28" fillId="11" borderId="38" xfId="4" applyFont="1" applyFill="1" applyBorder="1" applyAlignment="1">
      <alignment horizontal="center" wrapText="1"/>
    </xf>
    <xf numFmtId="0" fontId="7" fillId="0" borderId="0" xfId="4" applyAlignment="1">
      <alignment wrapText="1"/>
    </xf>
    <xf numFmtId="0" fontId="30" fillId="11" borderId="22" xfId="4" applyFont="1" applyFill="1" applyBorder="1" applyAlignment="1">
      <alignment horizontal="center"/>
    </xf>
    <xf numFmtId="0" fontId="30" fillId="11" borderId="35" xfId="4" applyFont="1" applyFill="1" applyBorder="1" applyAlignment="1">
      <alignment horizontal="center"/>
    </xf>
    <xf numFmtId="0" fontId="30" fillId="11" borderId="36" xfId="4" applyFont="1" applyFill="1" applyBorder="1" applyAlignment="1">
      <alignment horizontal="center"/>
    </xf>
    <xf numFmtId="0" fontId="30" fillId="11" borderId="37" xfId="4" applyFont="1" applyFill="1" applyBorder="1" applyAlignment="1">
      <alignment horizontal="center"/>
    </xf>
    <xf numFmtId="0" fontId="30" fillId="11" borderId="24" xfId="4" applyFont="1" applyFill="1" applyBorder="1" applyAlignment="1">
      <alignment horizontal="center"/>
    </xf>
    <xf numFmtId="0" fontId="30" fillId="11" borderId="9" xfId="4" applyFont="1" applyFill="1" applyBorder="1" applyAlignment="1">
      <alignment horizontal="center"/>
    </xf>
    <xf numFmtId="0" fontId="30" fillId="11" borderId="23" xfId="4" applyFont="1" applyFill="1" applyBorder="1" applyAlignment="1">
      <alignment horizontal="center"/>
    </xf>
    <xf numFmtId="0" fontId="31" fillId="11" borderId="23" xfId="4" applyFont="1" applyFill="1" applyBorder="1" applyAlignment="1">
      <alignment horizontal="center"/>
    </xf>
    <xf numFmtId="0" fontId="31" fillId="11" borderId="35" xfId="4" applyFont="1" applyFill="1" applyBorder="1" applyAlignment="1">
      <alignment horizontal="center"/>
    </xf>
    <xf numFmtId="0" fontId="30" fillId="11" borderId="38" xfId="4" applyFont="1" applyFill="1" applyBorder="1" applyAlignment="1">
      <alignment horizontal="center"/>
    </xf>
    <xf numFmtId="0" fontId="28" fillId="11" borderId="36" xfId="4" applyFont="1" applyFill="1" applyBorder="1" applyAlignment="1">
      <alignment horizontal="center"/>
    </xf>
    <xf numFmtId="3" fontId="28" fillId="0" borderId="22" xfId="4" applyNumberFormat="1" applyFont="1" applyBorder="1" applyAlignment="1">
      <alignment horizontal="center"/>
    </xf>
    <xf numFmtId="3" fontId="29" fillId="12" borderId="22" xfId="4" applyNumberFormat="1" applyFont="1" applyFill="1" applyBorder="1" applyAlignment="1">
      <alignment horizontal="center"/>
    </xf>
    <xf numFmtId="9" fontId="28" fillId="13" borderId="22" xfId="17" applyFont="1" applyFill="1" applyBorder="1" applyAlignment="1">
      <alignment horizontal="center"/>
    </xf>
    <xf numFmtId="3" fontId="29" fillId="12" borderId="35" xfId="4" applyNumberFormat="1" applyFont="1" applyFill="1" applyBorder="1" applyAlignment="1">
      <alignment horizontal="center"/>
    </xf>
    <xf numFmtId="3" fontId="28" fillId="13" borderId="36" xfId="4" applyNumberFormat="1" applyFont="1" applyFill="1" applyBorder="1" applyAlignment="1">
      <alignment horizontal="center"/>
    </xf>
    <xf numFmtId="3" fontId="28" fillId="13" borderId="22" xfId="4" applyNumberFormat="1" applyFont="1" applyFill="1" applyBorder="1" applyAlignment="1">
      <alignment horizontal="center"/>
    </xf>
    <xf numFmtId="3" fontId="28" fillId="13" borderId="35" xfId="4" applyNumberFormat="1" applyFont="1" applyFill="1" applyBorder="1" applyAlignment="1">
      <alignment horizontal="center"/>
    </xf>
    <xf numFmtId="3" fontId="28" fillId="0" borderId="37" xfId="4" applyNumberFormat="1" applyFont="1" applyBorder="1" applyAlignment="1">
      <alignment horizontal="center"/>
    </xf>
    <xf numFmtId="3" fontId="29" fillId="14" borderId="24" xfId="4" applyNumberFormat="1" applyFont="1" applyFill="1" applyBorder="1" applyAlignment="1">
      <alignment horizontal="center"/>
    </xf>
    <xf numFmtId="3" fontId="28" fillId="15" borderId="22" xfId="4" applyNumberFormat="1" applyFont="1" applyFill="1" applyBorder="1" applyAlignment="1">
      <alignment horizontal="center"/>
    </xf>
    <xf numFmtId="3" fontId="28" fillId="0" borderId="9" xfId="4" applyNumberFormat="1" applyFont="1" applyBorder="1" applyAlignment="1">
      <alignment horizontal="center"/>
    </xf>
    <xf numFmtId="3" fontId="28" fillId="0" borderId="36" xfId="4" applyNumberFormat="1" applyFont="1" applyBorder="1" applyAlignment="1">
      <alignment horizontal="center"/>
    </xf>
    <xf numFmtId="3" fontId="28" fillId="0" borderId="24" xfId="4" applyNumberFormat="1" applyFont="1" applyBorder="1" applyAlignment="1">
      <alignment horizontal="center"/>
    </xf>
    <xf numFmtId="3" fontId="28" fillId="12" borderId="22" xfId="4" applyNumberFormat="1" applyFont="1" applyFill="1" applyBorder="1" applyAlignment="1">
      <alignment horizontal="center"/>
    </xf>
    <xf numFmtId="3" fontId="28" fillId="0" borderId="23" xfId="4" applyNumberFormat="1" applyFont="1" applyBorder="1" applyAlignment="1">
      <alignment horizontal="center"/>
    </xf>
    <xf numFmtId="169" fontId="29" fillId="16" borderId="23" xfId="4" applyNumberFormat="1" applyFont="1" applyFill="1" applyBorder="1" applyAlignment="1">
      <alignment horizontal="center"/>
    </xf>
    <xf numFmtId="4" fontId="29" fillId="16" borderId="35" xfId="4" applyNumberFormat="1" applyFont="1" applyFill="1" applyBorder="1" applyAlignment="1">
      <alignment horizontal="center"/>
    </xf>
    <xf numFmtId="3" fontId="28" fillId="0" borderId="38" xfId="4" applyNumberFormat="1" applyFont="1" applyBorder="1" applyAlignment="1">
      <alignment horizontal="center"/>
    </xf>
    <xf numFmtId="9" fontId="29" fillId="17" borderId="35" xfId="17" applyFont="1" applyFill="1" applyBorder="1" applyAlignment="1">
      <alignment horizontal="center"/>
    </xf>
    <xf numFmtId="0" fontId="28" fillId="2" borderId="36" xfId="4" applyFont="1" applyFill="1" applyBorder="1" applyAlignment="1">
      <alignment horizontal="center"/>
    </xf>
    <xf numFmtId="3" fontId="28" fillId="2" borderId="22" xfId="4" applyNumberFormat="1" applyFont="1" applyFill="1" applyBorder="1" applyAlignment="1">
      <alignment horizontal="center"/>
    </xf>
    <xf numFmtId="3" fontId="29" fillId="2" borderId="22" xfId="4" applyNumberFormat="1" applyFont="1" applyFill="1" applyBorder="1" applyAlignment="1">
      <alignment horizontal="center"/>
    </xf>
    <xf numFmtId="9" fontId="28" fillId="2" borderId="22" xfId="17" applyFont="1" applyFill="1" applyBorder="1" applyAlignment="1">
      <alignment horizontal="center"/>
    </xf>
    <xf numFmtId="3" fontId="29" fillId="2" borderId="35" xfId="4" applyNumberFormat="1" applyFont="1" applyFill="1" applyBorder="1" applyAlignment="1">
      <alignment horizontal="center"/>
    </xf>
    <xf numFmtId="3" fontId="28" fillId="2" borderId="36" xfId="4" applyNumberFormat="1" applyFont="1" applyFill="1" applyBorder="1" applyAlignment="1">
      <alignment horizontal="center"/>
    </xf>
    <xf numFmtId="3" fontId="28" fillId="2" borderId="35" xfId="4" applyNumberFormat="1" applyFont="1" applyFill="1" applyBorder="1" applyAlignment="1">
      <alignment horizontal="center"/>
    </xf>
    <xf numFmtId="3" fontId="28" fillId="2" borderId="37" xfId="4" applyNumberFormat="1" applyFont="1" applyFill="1" applyBorder="1" applyAlignment="1">
      <alignment horizontal="center"/>
    </xf>
    <xf numFmtId="3" fontId="29" fillId="2" borderId="24" xfId="4" applyNumberFormat="1" applyFont="1" applyFill="1" applyBorder="1" applyAlignment="1">
      <alignment horizontal="center"/>
    </xf>
    <xf numFmtId="3" fontId="28" fillId="2" borderId="9" xfId="4" applyNumberFormat="1" applyFont="1" applyFill="1" applyBorder="1" applyAlignment="1">
      <alignment horizontal="center"/>
    </xf>
    <xf numFmtId="3" fontId="28" fillId="2" borderId="24" xfId="4" applyNumberFormat="1" applyFont="1" applyFill="1" applyBorder="1" applyAlignment="1">
      <alignment horizontal="center"/>
    </xf>
    <xf numFmtId="3" fontId="28" fillId="2" borderId="23" xfId="4" applyNumberFormat="1" applyFont="1" applyFill="1" applyBorder="1" applyAlignment="1">
      <alignment horizontal="center"/>
    </xf>
    <xf numFmtId="169" fontId="29" fillId="2" borderId="23" xfId="4" applyNumberFormat="1" applyFont="1" applyFill="1" applyBorder="1" applyAlignment="1">
      <alignment horizontal="center"/>
    </xf>
    <xf numFmtId="4" fontId="29" fillId="2" borderId="35" xfId="4" applyNumberFormat="1" applyFont="1" applyFill="1" applyBorder="1" applyAlignment="1">
      <alignment horizontal="center"/>
    </xf>
    <xf numFmtId="3" fontId="28" fillId="2" borderId="38" xfId="4" applyNumberFormat="1" applyFont="1" applyFill="1" applyBorder="1" applyAlignment="1">
      <alignment horizontal="center"/>
    </xf>
    <xf numFmtId="9" fontId="29" fillId="2" borderId="35" xfId="17" applyFont="1" applyFill="1" applyBorder="1" applyAlignment="1">
      <alignment horizontal="center"/>
    </xf>
    <xf numFmtId="9" fontId="28" fillId="0" borderId="22" xfId="17" applyFont="1" applyBorder="1" applyAlignment="1">
      <alignment horizontal="center"/>
    </xf>
    <xf numFmtId="0" fontId="28" fillId="11" borderId="40" xfId="4" applyFont="1" applyFill="1" applyBorder="1" applyAlignment="1">
      <alignment horizontal="center"/>
    </xf>
    <xf numFmtId="3" fontId="28" fillId="0" borderId="41" xfId="4" applyNumberFormat="1" applyFont="1" applyBorder="1" applyAlignment="1">
      <alignment horizontal="center"/>
    </xf>
    <xf numFmtId="3" fontId="29" fillId="12" borderId="41" xfId="4" applyNumberFormat="1" applyFont="1" applyFill="1" applyBorder="1" applyAlignment="1">
      <alignment horizontal="center"/>
    </xf>
    <xf numFmtId="9" fontId="28" fillId="13" borderId="41" xfId="17" applyFont="1" applyFill="1" applyBorder="1" applyAlignment="1">
      <alignment horizontal="center"/>
    </xf>
    <xf numFmtId="3" fontId="29" fillId="12" borderId="42" xfId="4" applyNumberFormat="1" applyFont="1" applyFill="1" applyBorder="1" applyAlignment="1">
      <alignment horizontal="center"/>
    </xf>
    <xf numFmtId="3" fontId="28" fillId="13" borderId="40" xfId="4" applyNumberFormat="1" applyFont="1" applyFill="1" applyBorder="1" applyAlignment="1">
      <alignment horizontal="center"/>
    </xf>
    <xf numFmtId="3" fontId="28" fillId="13" borderId="41" xfId="4" applyNumberFormat="1" applyFont="1" applyFill="1" applyBorder="1" applyAlignment="1">
      <alignment horizontal="center"/>
    </xf>
    <xf numFmtId="3" fontId="28" fillId="13" borderId="42" xfId="4" applyNumberFormat="1" applyFont="1" applyFill="1" applyBorder="1" applyAlignment="1">
      <alignment horizontal="center"/>
    </xf>
    <xf numFmtId="3" fontId="28" fillId="0" borderId="43" xfId="4" applyNumberFormat="1" applyFont="1" applyBorder="1" applyAlignment="1">
      <alignment horizontal="center"/>
    </xf>
    <xf numFmtId="3" fontId="29" fillId="14" borderId="44" xfId="4" applyNumberFormat="1" applyFont="1" applyFill="1" applyBorder="1" applyAlignment="1">
      <alignment horizontal="center"/>
    </xf>
    <xf numFmtId="3" fontId="28" fillId="15" borderId="41" xfId="4" applyNumberFormat="1" applyFont="1" applyFill="1" applyBorder="1" applyAlignment="1">
      <alignment horizontal="center"/>
    </xf>
    <xf numFmtId="9" fontId="28" fillId="0" borderId="41" xfId="17" applyFont="1" applyBorder="1" applyAlignment="1">
      <alignment horizontal="center"/>
    </xf>
    <xf numFmtId="3" fontId="28" fillId="0" borderId="45" xfId="4" applyNumberFormat="1" applyFont="1" applyBorder="1" applyAlignment="1">
      <alignment horizontal="center"/>
    </xf>
    <xf numFmtId="3" fontId="28" fillId="0" borderId="40" xfId="4" applyNumberFormat="1" applyFont="1" applyBorder="1" applyAlignment="1">
      <alignment horizontal="center"/>
    </xf>
    <xf numFmtId="3" fontId="28" fillId="0" borderId="44" xfId="4" applyNumberFormat="1" applyFont="1" applyBorder="1" applyAlignment="1">
      <alignment horizontal="center"/>
    </xf>
    <xf numFmtId="3" fontId="28" fillId="12" borderId="41" xfId="4" applyNumberFormat="1" applyFont="1" applyFill="1" applyBorder="1" applyAlignment="1">
      <alignment horizontal="center"/>
    </xf>
    <xf numFmtId="3" fontId="28" fillId="0" borderId="46" xfId="4" applyNumberFormat="1" applyFont="1" applyBorder="1" applyAlignment="1">
      <alignment horizontal="center"/>
    </xf>
    <xf numFmtId="169" fontId="29" fillId="16" borderId="46" xfId="4" applyNumberFormat="1" applyFont="1" applyFill="1" applyBorder="1" applyAlignment="1">
      <alignment horizontal="center"/>
    </xf>
    <xf numFmtId="4" fontId="29" fillId="16" borderId="42" xfId="4" applyNumberFormat="1" applyFont="1" applyFill="1" applyBorder="1" applyAlignment="1">
      <alignment horizontal="center"/>
    </xf>
    <xf numFmtId="3" fontId="28" fillId="0" borderId="47" xfId="4" applyNumberFormat="1" applyFont="1" applyBorder="1" applyAlignment="1">
      <alignment horizontal="center"/>
    </xf>
    <xf numFmtId="9" fontId="29" fillId="17" borderId="42" xfId="17" applyFont="1" applyFill="1" applyBorder="1" applyAlignment="1">
      <alignment horizontal="center"/>
    </xf>
    <xf numFmtId="0" fontId="28" fillId="0" borderId="0" xfId="4" applyFont="1"/>
    <xf numFmtId="0" fontId="28" fillId="11" borderId="35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/>
    </xf>
    <xf numFmtId="0" fontId="28" fillId="11" borderId="49" xfId="4" applyFont="1" applyFill="1" applyBorder="1" applyAlignment="1">
      <alignment horizontal="center"/>
    </xf>
    <xf numFmtId="3" fontId="28" fillId="0" borderId="36" xfId="4" applyNumberFormat="1" applyFont="1" applyBorder="1"/>
    <xf numFmtId="3" fontId="28" fillId="0" borderId="35" xfId="4" applyNumberFormat="1" applyFont="1" applyBorder="1"/>
    <xf numFmtId="3" fontId="28" fillId="0" borderId="22" xfId="4" applyNumberFormat="1" applyFont="1" applyBorder="1"/>
    <xf numFmtId="3" fontId="7" fillId="0" borderId="0" xfId="4" applyNumberFormat="1"/>
    <xf numFmtId="1" fontId="7" fillId="0" borderId="0" xfId="4" applyNumberFormat="1"/>
    <xf numFmtId="2" fontId="7" fillId="0" borderId="0" xfId="4" applyNumberFormat="1"/>
    <xf numFmtId="170" fontId="0" fillId="0" borderId="0" xfId="17" applyNumberFormat="1" applyFont="1"/>
    <xf numFmtId="9" fontId="0" fillId="0" borderId="0" xfId="17" applyFont="1"/>
    <xf numFmtId="0" fontId="28" fillId="11" borderId="50" xfId="4" applyFont="1" applyFill="1" applyBorder="1" applyAlignment="1">
      <alignment horizontal="center"/>
    </xf>
    <xf numFmtId="3" fontId="28" fillId="0" borderId="40" xfId="4" applyNumberFormat="1" applyFont="1" applyBorder="1"/>
    <xf numFmtId="3" fontId="28" fillId="0" borderId="42" xfId="4" applyNumberFormat="1" applyFont="1" applyBorder="1"/>
    <xf numFmtId="3" fontId="28" fillId="0" borderId="41" xfId="4" applyNumberFormat="1" applyFont="1" applyBorder="1"/>
    <xf numFmtId="9" fontId="7" fillId="0" borderId="0" xfId="4" applyNumberFormat="1"/>
    <xf numFmtId="0" fontId="17" fillId="0" borderId="0" xfId="4" applyFont="1"/>
    <xf numFmtId="3" fontId="17" fillId="0" borderId="0" xfId="4" applyNumberFormat="1" applyFont="1"/>
    <xf numFmtId="169" fontId="7" fillId="0" borderId="0" xfId="4" applyNumberFormat="1"/>
    <xf numFmtId="0" fontId="0" fillId="2" borderId="0" xfId="0" applyFont="1" applyFill="1"/>
    <xf numFmtId="0" fontId="7" fillId="2" borderId="2" xfId="4" applyFont="1" applyFill="1" applyBorder="1"/>
    <xf numFmtId="0" fontId="7" fillId="2" borderId="0" xfId="4" applyFont="1" applyFill="1" applyBorder="1"/>
    <xf numFmtId="0" fontId="17" fillId="2" borderId="0" xfId="14" applyFont="1" applyFill="1" applyBorder="1"/>
    <xf numFmtId="2" fontId="7" fillId="2" borderId="0" xfId="14" applyNumberFormat="1" applyFont="1" applyFill="1" applyBorder="1"/>
    <xf numFmtId="2" fontId="17" fillId="2" borderId="0" xfId="14" applyNumberFormat="1" applyFont="1" applyFill="1" applyBorder="1"/>
    <xf numFmtId="0" fontId="7" fillId="2" borderId="7" xfId="4" applyFont="1" applyFill="1" applyBorder="1"/>
    <xf numFmtId="0" fontId="17" fillId="2" borderId="7" xfId="4" applyFont="1" applyFill="1" applyBorder="1"/>
    <xf numFmtId="0" fontId="0" fillId="2" borderId="2" xfId="0" applyFont="1" applyFill="1" applyBorder="1"/>
    <xf numFmtId="0" fontId="0" fillId="2" borderId="0" xfId="0" applyFont="1" applyFill="1" applyBorder="1"/>
    <xf numFmtId="165" fontId="0" fillId="2" borderId="0" xfId="1" applyNumberFormat="1" applyFont="1" applyFill="1" applyBorder="1"/>
    <xf numFmtId="165" fontId="2" fillId="2" borderId="9" xfId="1" applyNumberFormat="1" applyFont="1" applyFill="1" applyBorder="1"/>
    <xf numFmtId="9" fontId="0" fillId="2" borderId="0" xfId="2" applyFont="1" applyFill="1" applyBorder="1"/>
    <xf numFmtId="0" fontId="0" fillId="2" borderId="7" xfId="0" applyFont="1" applyFill="1" applyBorder="1"/>
    <xf numFmtId="0" fontId="2" fillId="2" borderId="0" xfId="0" applyFont="1" applyFill="1" applyBorder="1"/>
    <xf numFmtId="165" fontId="0" fillId="2" borderId="0" xfId="0" applyNumberFormat="1" applyFont="1" applyFill="1" applyBorder="1"/>
    <xf numFmtId="2" fontId="7" fillId="0" borderId="0" xfId="4" applyNumberFormat="1" applyBorder="1"/>
    <xf numFmtId="0" fontId="7" fillId="2" borderId="3" xfId="4" applyFont="1" applyFill="1" applyBorder="1"/>
    <xf numFmtId="0" fontId="7" fillId="2" borderId="5" xfId="4" applyFont="1" applyFill="1" applyBorder="1"/>
    <xf numFmtId="0" fontId="17" fillId="2" borderId="5" xfId="14" applyFont="1" applyFill="1" applyBorder="1"/>
    <xf numFmtId="2" fontId="7" fillId="2" borderId="5" xfId="14" applyNumberFormat="1" applyFont="1" applyFill="1" applyBorder="1"/>
    <xf numFmtId="0" fontId="7" fillId="2" borderId="5" xfId="14" applyFont="1" applyFill="1" applyBorder="1"/>
    <xf numFmtId="2" fontId="17" fillId="2" borderId="5" xfId="14" applyNumberFormat="1" applyFont="1" applyFill="1" applyBorder="1"/>
    <xf numFmtId="0" fontId="7" fillId="2" borderId="8" xfId="4" applyFont="1" applyFill="1" applyBorder="1"/>
    <xf numFmtId="165" fontId="0" fillId="0" borderId="5" xfId="1" applyNumberFormat="1" applyFont="1" applyBorder="1"/>
    <xf numFmtId="165" fontId="2" fillId="0" borderId="24" xfId="1" applyNumberFormat="1" applyFont="1" applyBorder="1"/>
    <xf numFmtId="9" fontId="0" fillId="0" borderId="5" xfId="2" applyFont="1" applyBorder="1"/>
    <xf numFmtId="9" fontId="0" fillId="0" borderId="7" xfId="0" applyNumberFormat="1" applyBorder="1"/>
    <xf numFmtId="0" fontId="6" fillId="0" borderId="0" xfId="0" applyFont="1" applyFill="1" applyBorder="1"/>
    <xf numFmtId="9" fontId="0" fillId="0" borderId="8" xfId="0" applyNumberFormat="1" applyBorder="1"/>
    <xf numFmtId="2" fontId="6" fillId="0" borderId="0" xfId="0" applyNumberFormat="1" applyFont="1" applyBorder="1"/>
    <xf numFmtId="2" fontId="6" fillId="0" borderId="5" xfId="0" applyNumberFormat="1" applyFont="1" applyBorder="1"/>
    <xf numFmtId="0" fontId="0" fillId="0" borderId="0" xfId="0" applyNumberFormat="1"/>
    <xf numFmtId="2" fontId="0" fillId="0" borderId="0" xfId="0" applyNumberFormat="1" applyBorder="1"/>
    <xf numFmtId="2" fontId="0" fillId="0" borderId="5" xfId="0" applyNumberFormat="1" applyBorder="1"/>
    <xf numFmtId="0" fontId="0" fillId="0" borderId="7" xfId="0" applyFill="1" applyBorder="1"/>
    <xf numFmtId="9" fontId="0" fillId="0" borderId="7" xfId="2" applyNumberFormat="1" applyFont="1" applyBorder="1"/>
    <xf numFmtId="9" fontId="0" fillId="0" borderId="8" xfId="2" applyNumberFormat="1" applyFont="1" applyBorder="1"/>
    <xf numFmtId="9" fontId="0" fillId="0" borderId="0" xfId="2" applyNumberFormat="1" applyFont="1" applyBorder="1"/>
    <xf numFmtId="164" fontId="0" fillId="0" borderId="0" xfId="1" applyFont="1" applyBorder="1"/>
    <xf numFmtId="0" fontId="21" fillId="2" borderId="0" xfId="0" applyFont="1" applyFill="1" applyBorder="1"/>
    <xf numFmtId="0" fontId="21" fillId="10" borderId="0" xfId="0" applyFont="1" applyFill="1" applyBorder="1"/>
    <xf numFmtId="0" fontId="7" fillId="0" borderId="1" xfId="14" applyBorder="1"/>
    <xf numFmtId="0" fontId="7" fillId="0" borderId="2" xfId="14" applyBorder="1"/>
    <xf numFmtId="164" fontId="0" fillId="0" borderId="2" xfId="1" applyFont="1" applyBorder="1"/>
    <xf numFmtId="0" fontId="7" fillId="0" borderId="6" xfId="14" applyBorder="1"/>
    <xf numFmtId="164" fontId="0" fillId="0" borderId="7" xfId="1" applyFont="1" applyBorder="1"/>
    <xf numFmtId="0" fontId="17" fillId="8" borderId="1" xfId="14" applyFont="1" applyFill="1" applyBorder="1"/>
    <xf numFmtId="0" fontId="17" fillId="8" borderId="2" xfId="14" applyFont="1" applyFill="1" applyBorder="1"/>
    <xf numFmtId="9" fontId="0" fillId="0" borderId="2" xfId="2" applyNumberFormat="1" applyFont="1" applyBorder="1"/>
    <xf numFmtId="164" fontId="21" fillId="0" borderId="0" xfId="1" applyFont="1" applyBorder="1"/>
    <xf numFmtId="165" fontId="0" fillId="0" borderId="5" xfId="0" applyNumberFormat="1" applyBorder="1"/>
    <xf numFmtId="0" fontId="7" fillId="0" borderId="0" xfId="14" applyFill="1" applyBorder="1"/>
    <xf numFmtId="9" fontId="0" fillId="0" borderId="0" xfId="0" applyNumberFormat="1" applyBorder="1"/>
    <xf numFmtId="9" fontId="0" fillId="0" borderId="0" xfId="1" applyNumberFormat="1" applyFont="1" applyBorder="1"/>
    <xf numFmtId="164" fontId="0" fillId="0" borderId="0" xfId="0" applyNumberFormat="1" applyBorder="1"/>
    <xf numFmtId="164" fontId="0" fillId="0" borderId="0" xfId="0" applyNumberFormat="1" applyFill="1" applyBorder="1"/>
    <xf numFmtId="168" fontId="0" fillId="10" borderId="7" xfId="1" applyNumberFormat="1" applyFont="1" applyFill="1" applyBorder="1"/>
    <xf numFmtId="0" fontId="32" fillId="0" borderId="0" xfId="14" applyFont="1" applyBorder="1"/>
    <xf numFmtId="0" fontId="7" fillId="0" borderId="2" xfId="14" applyFill="1" applyBorder="1"/>
    <xf numFmtId="9" fontId="0" fillId="0" borderId="2" xfId="1" applyNumberFormat="1" applyFont="1" applyBorder="1"/>
    <xf numFmtId="9" fontId="0" fillId="0" borderId="2" xfId="0" applyNumberFormat="1" applyBorder="1"/>
    <xf numFmtId="9" fontId="0" fillId="0" borderId="3" xfId="0" applyNumberFormat="1" applyBorder="1"/>
    <xf numFmtId="9" fontId="0" fillId="0" borderId="5" xfId="0" applyNumberFormat="1" applyBorder="1"/>
    <xf numFmtId="164" fontId="0" fillId="0" borderId="5" xfId="0" applyNumberFormat="1" applyBorder="1"/>
    <xf numFmtId="164" fontId="0" fillId="0" borderId="5" xfId="0" applyNumberFormat="1" applyFill="1" applyBorder="1"/>
    <xf numFmtId="0" fontId="7" fillId="0" borderId="7" xfId="14" applyFill="1" applyBorder="1"/>
    <xf numFmtId="164" fontId="0" fillId="0" borderId="7" xfId="0" applyNumberFormat="1" applyBorder="1"/>
    <xf numFmtId="164" fontId="0" fillId="0" borderId="8" xfId="0" applyNumberFormat="1" applyBorder="1"/>
    <xf numFmtId="2" fontId="7" fillId="0" borderId="4" xfId="4" applyNumberFormat="1" applyBorder="1"/>
    <xf numFmtId="2" fontId="7" fillId="0" borderId="5" xfId="4" applyNumberFormat="1" applyBorder="1"/>
    <xf numFmtId="0" fontId="7" fillId="10" borderId="8" xfId="4" applyFill="1" applyBorder="1"/>
    <xf numFmtId="0" fontId="17" fillId="0" borderId="5" xfId="4" applyFont="1" applyBorder="1"/>
    <xf numFmtId="166" fontId="0" fillId="0" borderId="0" xfId="0" applyNumberFormat="1" applyBorder="1"/>
    <xf numFmtId="168" fontId="21" fillId="10" borderId="0" xfId="0" applyNumberFormat="1" applyFont="1" applyFill="1" applyBorder="1"/>
    <xf numFmtId="171" fontId="0" fillId="0" borderId="0" xfId="0" applyNumberFormat="1" applyBorder="1"/>
    <xf numFmtId="0" fontId="0" fillId="0" borderId="0" xfId="0" applyBorder="1" applyAlignment="1">
      <alignment wrapText="1"/>
    </xf>
    <xf numFmtId="0" fontId="2" fillId="0" borderId="2" xfId="0" applyFont="1" applyBorder="1"/>
    <xf numFmtId="165" fontId="0" fillId="18" borderId="0" xfId="0" applyNumberFormat="1" applyFill="1" applyBorder="1"/>
    <xf numFmtId="165" fontId="0" fillId="18" borderId="5" xfId="0" applyNumberFormat="1" applyFill="1" applyBorder="1"/>
    <xf numFmtId="165" fontId="6" fillId="0" borderId="0" xfId="0" applyNumberFormat="1" applyFont="1" applyBorder="1"/>
    <xf numFmtId="165" fontId="6" fillId="2" borderId="0" xfId="0" applyNumberFormat="1" applyFont="1" applyFill="1" applyBorder="1"/>
    <xf numFmtId="165" fontId="6" fillId="0" borderId="5" xfId="0" applyNumberFormat="1" applyFont="1" applyBorder="1"/>
    <xf numFmtId="9" fontId="6" fillId="0" borderId="0" xfId="2" applyFont="1" applyBorder="1"/>
    <xf numFmtId="9" fontId="6" fillId="2" borderId="0" xfId="2" applyFont="1" applyFill="1" applyBorder="1"/>
    <xf numFmtId="9" fontId="10" fillId="0" borderId="17" xfId="2" applyFont="1" applyBorder="1"/>
    <xf numFmtId="9" fontId="10" fillId="0" borderId="18" xfId="2" applyFont="1" applyBorder="1"/>
    <xf numFmtId="168" fontId="0" fillId="0" borderId="0" xfId="1" applyNumberFormat="1" applyFont="1"/>
    <xf numFmtId="165" fontId="7" fillId="0" borderId="0" xfId="1" applyNumberFormat="1" applyFont="1"/>
    <xf numFmtId="165" fontId="7" fillId="0" borderId="0" xfId="4" applyNumberFormat="1"/>
    <xf numFmtId="168" fontId="2" fillId="0" borderId="0" xfId="0" applyNumberFormat="1" applyFont="1"/>
    <xf numFmtId="166" fontId="7" fillId="0" borderId="0" xfId="4" applyNumberFormat="1"/>
    <xf numFmtId="165" fontId="0" fillId="0" borderId="0" xfId="0" applyNumberFormat="1"/>
    <xf numFmtId="168" fontId="0" fillId="0" borderId="0" xfId="0" applyNumberFormat="1"/>
    <xf numFmtId="43" fontId="0" fillId="0" borderId="0" xfId="0" applyNumberFormat="1"/>
    <xf numFmtId="0" fontId="21" fillId="0" borderId="0" xfId="0" applyFont="1"/>
    <xf numFmtId="0" fontId="33" fillId="19" borderId="0" xfId="18" applyBorder="1"/>
    <xf numFmtId="0" fontId="0" fillId="20" borderId="0" xfId="0" applyFill="1" applyBorder="1"/>
    <xf numFmtId="0" fontId="0" fillId="0" borderId="4" xfId="0" quotePrefix="1" applyBorder="1"/>
    <xf numFmtId="0" fontId="0" fillId="0" borderId="4" xfId="0" applyFill="1" applyBorder="1"/>
    <xf numFmtId="2" fontId="0" fillId="0" borderId="0" xfId="0" applyNumberFormat="1"/>
    <xf numFmtId="2" fontId="2" fillId="0" borderId="0" xfId="0" applyNumberFormat="1" applyFont="1"/>
    <xf numFmtId="164" fontId="0" fillId="0" borderId="0" xfId="1" applyFont="1"/>
    <xf numFmtId="43" fontId="2" fillId="0" borderId="0" xfId="0" applyNumberFormat="1" applyFont="1"/>
    <xf numFmtId="164" fontId="2" fillId="0" borderId="0" xfId="0" applyNumberFormat="1" applyFont="1"/>
    <xf numFmtId="43" fontId="0" fillId="0" borderId="7" xfId="0" applyNumberFormat="1" applyBorder="1"/>
    <xf numFmtId="0" fontId="0" fillId="20" borderId="4" xfId="0" applyFill="1" applyBorder="1"/>
    <xf numFmtId="1" fontId="0" fillId="20" borderId="0" xfId="0" applyNumberFormat="1" applyFill="1" applyBorder="1"/>
    <xf numFmtId="165" fontId="2" fillId="0" borderId="4" xfId="1" applyNumberFormat="1" applyFont="1" applyBorder="1"/>
    <xf numFmtId="165" fontId="2" fillId="0" borderId="0" xfId="1" applyNumberFormat="1" applyFont="1" applyBorder="1"/>
    <xf numFmtId="43" fontId="0" fillId="0" borderId="4" xfId="0" applyNumberFormat="1" applyBorder="1"/>
    <xf numFmtId="43" fontId="0" fillId="0" borderId="0" xfId="0" applyNumberFormat="1" applyBorder="1"/>
    <xf numFmtId="9" fontId="0" fillId="0" borderId="0" xfId="0" applyNumberFormat="1"/>
    <xf numFmtId="171" fontId="0" fillId="0" borderId="0" xfId="1" applyNumberFormat="1" applyFont="1"/>
    <xf numFmtId="0" fontId="34" fillId="0" borderId="4" xfId="14" applyFont="1" applyBorder="1"/>
    <xf numFmtId="0" fontId="10" fillId="0" borderId="4" xfId="7" applyBorder="1"/>
    <xf numFmtId="0" fontId="11" fillId="7" borderId="51" xfId="7" applyFont="1" applyFill="1" applyBorder="1"/>
    <xf numFmtId="0" fontId="10" fillId="0" borderId="0" xfId="7" applyBorder="1"/>
    <xf numFmtId="2" fontId="10" fillId="0" borderId="0" xfId="7" applyNumberFormat="1" applyBorder="1"/>
    <xf numFmtId="0" fontId="15" fillId="6" borderId="4" xfId="13" applyBorder="1"/>
    <xf numFmtId="0" fontId="15" fillId="4" borderId="52" xfId="11" applyBorder="1"/>
    <xf numFmtId="0" fontId="10" fillId="0" borderId="52" xfId="7" applyBorder="1"/>
    <xf numFmtId="0" fontId="10" fillId="0" borderId="4" xfId="7" applyFill="1" applyBorder="1"/>
    <xf numFmtId="168" fontId="0" fillId="0" borderId="0" xfId="1" applyNumberFormat="1" applyFont="1" applyBorder="1"/>
    <xf numFmtId="168" fontId="2" fillId="0" borderId="5" xfId="0" applyNumberFormat="1" applyFont="1" applyBorder="1"/>
    <xf numFmtId="168" fontId="2" fillId="0" borderId="8" xfId="0" applyNumberFormat="1" applyFont="1" applyBorder="1"/>
    <xf numFmtId="0" fontId="2" fillId="0" borderId="1" xfId="0" applyFont="1" applyBorder="1"/>
    <xf numFmtId="164" fontId="2" fillId="0" borderId="2" xfId="1" applyFont="1" applyBorder="1"/>
    <xf numFmtId="171" fontId="2" fillId="0" borderId="0" xfId="0" applyNumberFormat="1" applyFont="1"/>
    <xf numFmtId="0" fontId="35" fillId="0" borderId="7" xfId="0" applyFont="1" applyBorder="1"/>
    <xf numFmtId="0" fontId="0" fillId="0" borderId="0" xfId="0" applyFont="1"/>
    <xf numFmtId="164" fontId="0" fillId="0" borderId="0" xfId="1" applyNumberFormat="1" applyFont="1" applyBorder="1"/>
    <xf numFmtId="164" fontId="0" fillId="0" borderId="5" xfId="1" applyNumberFormat="1" applyFont="1" applyBorder="1"/>
    <xf numFmtId="0" fontId="0" fillId="0" borderId="4" xfId="0" applyBorder="1" applyAlignment="1">
      <alignment vertical="center"/>
    </xf>
    <xf numFmtId="168" fontId="0" fillId="0" borderId="22" xfId="1" applyNumberFormat="1" applyFont="1" applyBorder="1"/>
    <xf numFmtId="168" fontId="2" fillId="0" borderId="22" xfId="0" applyNumberFormat="1" applyFont="1" applyBorder="1"/>
    <xf numFmtId="165" fontId="36" fillId="0" borderId="0" xfId="1" applyNumberFormat="1" applyFont="1" applyBorder="1"/>
    <xf numFmtId="0" fontId="36" fillId="0" borderId="0" xfId="0" applyFont="1" applyBorder="1"/>
    <xf numFmtId="165" fontId="2" fillId="0" borderId="0" xfId="1" applyNumberFormat="1" applyFont="1"/>
    <xf numFmtId="0" fontId="37" fillId="0" borderId="0" xfId="14" applyFont="1" applyFill="1" applyBorder="1"/>
    <xf numFmtId="0" fontId="38" fillId="0" borderId="0" xfId="0" applyFont="1" applyBorder="1"/>
    <xf numFmtId="165" fontId="2" fillId="0" borderId="0" xfId="0" applyNumberFormat="1" applyFont="1"/>
    <xf numFmtId="10" fontId="0" fillId="0" borderId="0" xfId="0" applyNumberFormat="1"/>
    <xf numFmtId="2" fontId="2" fillId="0" borderId="0" xfId="0" applyNumberFormat="1" applyFont="1" applyBorder="1"/>
    <xf numFmtId="6" fontId="0" fillId="0" borderId="0" xfId="0" applyNumberFormat="1" applyBorder="1"/>
    <xf numFmtId="10" fontId="0" fillId="0" borderId="4" xfId="0" applyNumberFormat="1" applyBorder="1"/>
    <xf numFmtId="167" fontId="0" fillId="0" borderId="0" xfId="0" applyNumberFormat="1" applyBorder="1"/>
    <xf numFmtId="0" fontId="10" fillId="0" borderId="1" xfId="7" applyBorder="1"/>
    <xf numFmtId="0" fontId="10" fillId="0" borderId="2" xfId="7" applyBorder="1"/>
    <xf numFmtId="0" fontId="10" fillId="0" borderId="3" xfId="7" applyBorder="1"/>
    <xf numFmtId="0" fontId="10" fillId="0" borderId="5" xfId="7" applyBorder="1"/>
    <xf numFmtId="168" fontId="10" fillId="0" borderId="0" xfId="1" applyNumberFormat="1" applyFont="1" applyBorder="1"/>
    <xf numFmtId="168" fontId="10" fillId="0" borderId="5" xfId="1" applyNumberFormat="1" applyFont="1" applyBorder="1"/>
    <xf numFmtId="0" fontId="10" fillId="0" borderId="6" xfId="7" applyBorder="1"/>
    <xf numFmtId="0" fontId="10" fillId="0" borderId="53" xfId="7" applyFont="1" applyBorder="1"/>
    <xf numFmtId="168" fontId="10" fillId="0" borderId="7" xfId="1" applyNumberFormat="1" applyFont="1" applyBorder="1"/>
    <xf numFmtId="168" fontId="10" fillId="0" borderId="8" xfId="1" applyNumberFormat="1" applyFont="1" applyBorder="1"/>
    <xf numFmtId="164" fontId="0" fillId="0" borderId="0" xfId="1" applyNumberFormat="1" applyFont="1"/>
    <xf numFmtId="0" fontId="0" fillId="0" borderId="0" xfId="0" applyAlignment="1">
      <alignment wrapText="1"/>
    </xf>
    <xf numFmtId="2" fontId="21" fillId="10" borderId="0" xfId="0" applyNumberFormat="1" applyFont="1" applyFill="1" applyBorder="1"/>
    <xf numFmtId="170" fontId="0" fillId="2" borderId="0" xfId="2" applyNumberFormat="1" applyFont="1" applyFill="1" applyBorder="1"/>
    <xf numFmtId="170" fontId="0" fillId="0" borderId="0" xfId="0" applyNumberFormat="1" applyBorder="1"/>
    <xf numFmtId="170" fontId="0" fillId="0" borderId="0" xfId="2" applyNumberFormat="1" applyFont="1" applyBorder="1"/>
    <xf numFmtId="10" fontId="0" fillId="0" borderId="0" xfId="2" applyNumberFormat="1" applyFont="1" applyBorder="1"/>
    <xf numFmtId="172" fontId="21" fillId="0" borderId="0" xfId="0" applyNumberFormat="1" applyFont="1"/>
    <xf numFmtId="2" fontId="0" fillId="10" borderId="7" xfId="0" applyNumberFormat="1" applyFill="1" applyBorder="1"/>
    <xf numFmtId="167" fontId="0" fillId="0" borderId="0" xfId="0" applyNumberFormat="1"/>
    <xf numFmtId="166" fontId="0" fillId="0" borderId="0" xfId="0" applyNumberFormat="1"/>
    <xf numFmtId="0" fontId="15" fillId="4" borderId="0" xfId="11" applyBorder="1"/>
    <xf numFmtId="0" fontId="35" fillId="0" borderId="4" xfId="0" applyFont="1" applyBorder="1"/>
    <xf numFmtId="3" fontId="10" fillId="0" borderId="0" xfId="0" applyNumberFormat="1" applyFont="1"/>
    <xf numFmtId="173" fontId="0" fillId="0" borderId="0" xfId="0" applyNumberFormat="1"/>
    <xf numFmtId="0" fontId="36" fillId="0" borderId="0" xfId="0" applyFont="1"/>
    <xf numFmtId="0" fontId="39" fillId="0" borderId="7" xfId="0" applyFont="1" applyBorder="1"/>
    <xf numFmtId="0" fontId="36" fillId="0" borderId="5" xfId="0" applyFont="1" applyBorder="1"/>
    <xf numFmtId="3" fontId="16" fillId="0" borderId="5" xfId="0" applyNumberFormat="1" applyFont="1" applyBorder="1"/>
    <xf numFmtId="164" fontId="2" fillId="0" borderId="0" xfId="1" applyNumberFormat="1" applyFont="1" applyBorder="1"/>
    <xf numFmtId="164" fontId="0" fillId="0" borderId="0" xfId="0" applyNumberFormat="1"/>
    <xf numFmtId="0" fontId="12" fillId="0" borderId="4" xfId="7" applyFont="1" applyFill="1" applyBorder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0" fillId="0" borderId="58" xfId="0" applyBorder="1"/>
    <xf numFmtId="164" fontId="0" fillId="2" borderId="0" xfId="1" applyFont="1" applyFill="1" applyBorder="1"/>
    <xf numFmtId="0" fontId="0" fillId="0" borderId="59" xfId="0" applyBorder="1"/>
    <xf numFmtId="0" fontId="0" fillId="0" borderId="60" xfId="0" applyBorder="1"/>
    <xf numFmtId="0" fontId="0" fillId="0" borderId="61" xfId="0" applyBorder="1"/>
    <xf numFmtId="170" fontId="0" fillId="0" borderId="0" xfId="2" applyNumberFormat="1" applyFont="1"/>
    <xf numFmtId="4" fontId="0" fillId="0" borderId="0" xfId="0" applyNumberFormat="1"/>
    <xf numFmtId="0" fontId="36" fillId="0" borderId="1" xfId="0" applyFont="1" applyBorder="1"/>
    <xf numFmtId="0" fontId="36" fillId="0" borderId="2" xfId="0" applyFont="1" applyBorder="1"/>
    <xf numFmtId="0" fontId="36" fillId="0" borderId="4" xfId="0" applyFont="1" applyBorder="1"/>
    <xf numFmtId="0" fontId="0" fillId="0" borderId="5" xfId="0" applyFill="1" applyBorder="1"/>
    <xf numFmtId="0" fontId="1" fillId="0" borderId="7" xfId="15" applyBorder="1"/>
    <xf numFmtId="0" fontId="40" fillId="0" borderId="0" xfId="14" applyFont="1" applyBorder="1"/>
    <xf numFmtId="0" fontId="41" fillId="0" borderId="0" xfId="0" applyFont="1" applyBorder="1"/>
    <xf numFmtId="0" fontId="41" fillId="2" borderId="0" xfId="0" applyFont="1" applyFill="1" applyBorder="1"/>
    <xf numFmtId="164" fontId="41" fillId="0" borderId="0" xfId="1" applyFont="1" applyBorder="1"/>
    <xf numFmtId="170" fontId="41" fillId="0" borderId="0" xfId="2" applyNumberFormat="1" applyFont="1" applyBorder="1"/>
    <xf numFmtId="2" fontId="41" fillId="0" borderId="0" xfId="2" applyNumberFormat="1" applyFont="1" applyBorder="1"/>
    <xf numFmtId="164" fontId="2" fillId="0" borderId="0" xfId="1" applyFont="1" applyBorder="1"/>
    <xf numFmtId="0" fontId="17" fillId="0" borderId="0" xfId="14" applyFont="1" applyBorder="1"/>
    <xf numFmtId="0" fontId="42" fillId="0" borderId="0" xfId="0" applyFont="1"/>
    <xf numFmtId="2" fontId="42" fillId="0" borderId="0" xfId="0" applyNumberFormat="1" applyFont="1"/>
    <xf numFmtId="167" fontId="42" fillId="0" borderId="0" xfId="0" applyNumberFormat="1" applyFont="1"/>
    <xf numFmtId="0" fontId="43" fillId="0" borderId="0" xfId="14" applyFont="1" applyFill="1" applyBorder="1"/>
    <xf numFmtId="170" fontId="42" fillId="0" borderId="0" xfId="2" applyNumberFormat="1" applyFont="1" applyBorder="1"/>
    <xf numFmtId="164" fontId="42" fillId="0" borderId="0" xfId="1" applyFont="1" applyBorder="1"/>
    <xf numFmtId="0" fontId="43" fillId="0" borderId="0" xfId="14" applyFont="1" applyBorder="1"/>
    <xf numFmtId="2" fontId="42" fillId="0" borderId="0" xfId="2" applyNumberFormat="1" applyFont="1" applyBorder="1"/>
    <xf numFmtId="0" fontId="7" fillId="0" borderId="0" xfId="14" applyFont="1" applyBorder="1"/>
    <xf numFmtId="9" fontId="44" fillId="0" borderId="0" xfId="2" applyFont="1" applyBorder="1"/>
    <xf numFmtId="0" fontId="17" fillId="0" borderId="0" xfId="14" applyFont="1" applyFill="1" applyBorder="1"/>
    <xf numFmtId="0" fontId="2" fillId="2" borderId="0" xfId="0" applyFont="1" applyFill="1"/>
    <xf numFmtId="164" fontId="0" fillId="0" borderId="0" xfId="2" applyNumberFormat="1" applyFont="1" applyBorder="1"/>
    <xf numFmtId="0" fontId="45" fillId="21" borderId="62" xfId="0" applyFont="1" applyFill="1" applyBorder="1" applyAlignment="1">
      <alignment horizontal="right" vertical="top" wrapText="1" indent="1"/>
    </xf>
    <xf numFmtId="0" fontId="46" fillId="0" borderId="62" xfId="0" applyFont="1" applyBorder="1" applyAlignment="1">
      <alignment horizontal="left" vertical="top" wrapText="1" indent="1"/>
    </xf>
    <xf numFmtId="0" fontId="46" fillId="0" borderId="62" xfId="0" applyFont="1" applyBorder="1" applyAlignment="1">
      <alignment horizontal="right" vertical="top" wrapText="1" indent="1"/>
    </xf>
    <xf numFmtId="0" fontId="46" fillId="0" borderId="0" xfId="0" applyFont="1" applyFill="1" applyBorder="1" applyAlignment="1">
      <alignment horizontal="right" vertical="top" wrapText="1" indent="1"/>
    </xf>
    <xf numFmtId="0" fontId="2" fillId="0" borderId="63" xfId="0" applyFont="1" applyFill="1" applyBorder="1"/>
    <xf numFmtId="0" fontId="10" fillId="0" borderId="18" xfId="7" applyBorder="1"/>
    <xf numFmtId="0" fontId="11" fillId="4" borderId="16" xfId="11" applyFont="1" applyBorder="1"/>
    <xf numFmtId="0" fontId="11" fillId="4" borderId="17" xfId="11" applyFont="1" applyBorder="1"/>
    <xf numFmtId="0" fontId="11" fillId="4" borderId="18" xfId="11" applyFont="1" applyBorder="1"/>
    <xf numFmtId="0" fontId="10" fillId="5" borderId="18" xfId="12" applyBorder="1"/>
    <xf numFmtId="1" fontId="10" fillId="0" borderId="17" xfId="7" applyNumberFormat="1" applyBorder="1"/>
    <xf numFmtId="0" fontId="47" fillId="0" borderId="18" xfId="19" applyBorder="1"/>
    <xf numFmtId="0" fontId="10" fillId="0" borderId="17" xfId="7" quotePrefix="1" applyBorder="1"/>
    <xf numFmtId="0" fontId="0" fillId="5" borderId="17" xfId="12" applyFont="1" applyBorder="1"/>
    <xf numFmtId="1" fontId="10" fillId="0" borderId="18" xfId="7" applyNumberFormat="1" applyBorder="1"/>
    <xf numFmtId="168" fontId="10" fillId="0" borderId="17" xfId="1" applyNumberFormat="1" applyFont="1" applyBorder="1"/>
    <xf numFmtId="43" fontId="10" fillId="0" borderId="0" xfId="7" applyNumberFormat="1"/>
    <xf numFmtId="1" fontId="0" fillId="0" borderId="0" xfId="0" applyNumberFormat="1"/>
    <xf numFmtId="0" fontId="0" fillId="0" borderId="0" xfId="0" applyAlignment="1">
      <alignment horizontal="right"/>
    </xf>
    <xf numFmtId="0" fontId="21" fillId="22" borderId="0" xfId="0" applyFont="1" applyFill="1"/>
    <xf numFmtId="0" fontId="10" fillId="5" borderId="18" xfId="12" applyBorder="1" applyAlignment="1">
      <alignment horizontal="right"/>
    </xf>
    <xf numFmtId="0" fontId="7" fillId="0" borderId="22" xfId="4" applyBorder="1"/>
    <xf numFmtId="164" fontId="0" fillId="0" borderId="22" xfId="1" applyFont="1" applyBorder="1"/>
    <xf numFmtId="173" fontId="0" fillId="0" borderId="0" xfId="21" applyNumberFormat="1" applyFont="1"/>
    <xf numFmtId="0" fontId="35" fillId="0" borderId="0" xfId="0" applyFont="1"/>
    <xf numFmtId="0" fontId="22" fillId="0" borderId="0" xfId="16" applyAlignment="1">
      <alignment vertical="center"/>
    </xf>
    <xf numFmtId="8" fontId="0" fillId="0" borderId="0" xfId="0" applyNumberFormat="1"/>
    <xf numFmtId="173" fontId="2" fillId="0" borderId="0" xfId="0" applyNumberFormat="1" applyFont="1"/>
    <xf numFmtId="173" fontId="2" fillId="0" borderId="0" xfId="21" applyNumberFormat="1" applyFont="1"/>
    <xf numFmtId="0" fontId="0" fillId="24" borderId="0" xfId="0" applyFill="1"/>
    <xf numFmtId="0" fontId="35" fillId="0" borderId="8" xfId="0" applyFont="1" applyBorder="1"/>
    <xf numFmtId="0" fontId="2" fillId="0" borderId="8" xfId="0" applyFont="1" applyBorder="1"/>
    <xf numFmtId="0" fontId="0" fillId="24" borderId="2" xfId="0" applyFill="1" applyBorder="1"/>
    <xf numFmtId="0" fontId="0" fillId="0" borderId="9" xfId="0" applyBorder="1"/>
    <xf numFmtId="0" fontId="0" fillId="0" borderId="24" xfId="0" applyBorder="1"/>
    <xf numFmtId="9" fontId="0" fillId="0" borderId="9" xfId="0" applyNumberFormat="1" applyBorder="1"/>
    <xf numFmtId="0" fontId="0" fillId="22" borderId="0" xfId="0" applyFill="1"/>
    <xf numFmtId="0" fontId="0" fillId="0" borderId="0" xfId="0" quotePrefix="1"/>
    <xf numFmtId="0" fontId="0" fillId="24" borderId="4" xfId="0" applyFill="1" applyBorder="1"/>
    <xf numFmtId="9" fontId="0" fillId="22" borderId="0" xfId="0" applyNumberFormat="1" applyFill="1"/>
    <xf numFmtId="9" fontId="0" fillId="24" borderId="0" xfId="0" applyNumberFormat="1" applyFill="1"/>
    <xf numFmtId="165" fontId="0" fillId="0" borderId="0" xfId="22" applyNumberFormat="1" applyFont="1"/>
    <xf numFmtId="174" fontId="0" fillId="0" borderId="0" xfId="0" applyNumberFormat="1"/>
    <xf numFmtId="166" fontId="0" fillId="0" borderId="7" xfId="0" applyNumberFormat="1" applyBorder="1"/>
    <xf numFmtId="165" fontId="0" fillId="22" borderId="0" xfId="22" applyNumberFormat="1" applyFont="1" applyFill="1"/>
    <xf numFmtId="0" fontId="0" fillId="18" borderId="0" xfId="0" applyFill="1"/>
    <xf numFmtId="17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20" fillId="0" borderId="0" xfId="0" applyFont="1" applyAlignment="1">
      <alignment horizontal="center" vertical="center"/>
    </xf>
    <xf numFmtId="165" fontId="0" fillId="0" borderId="57" xfId="0" applyNumberFormat="1" applyBorder="1"/>
    <xf numFmtId="0" fontId="2" fillId="0" borderId="63" xfId="0" applyFont="1" applyBorder="1"/>
    <xf numFmtId="0" fontId="0" fillId="0" borderId="63" xfId="0" applyBorder="1"/>
    <xf numFmtId="0" fontId="0" fillId="25" borderId="0" xfId="0" applyFill="1"/>
    <xf numFmtId="171" fontId="0" fillId="0" borderId="0" xfId="0" applyNumberFormat="1"/>
    <xf numFmtId="2" fontId="0" fillId="0" borderId="63" xfId="0" applyNumberFormat="1" applyBorder="1"/>
    <xf numFmtId="0" fontId="6" fillId="0" borderId="0" xfId="0" applyFont="1"/>
    <xf numFmtId="173" fontId="0" fillId="0" borderId="22" xfId="0" applyNumberFormat="1" applyBorder="1"/>
    <xf numFmtId="173" fontId="0" fillId="0" borderId="22" xfId="21" applyNumberFormat="1" applyFont="1" applyBorder="1"/>
    <xf numFmtId="9" fontId="0" fillId="0" borderId="22" xfId="0" applyNumberFormat="1" applyBorder="1"/>
    <xf numFmtId="9" fontId="0" fillId="25" borderId="0" xfId="0" applyNumberFormat="1" applyFill="1"/>
    <xf numFmtId="0" fontId="0" fillId="26" borderId="0" xfId="0" applyFill="1"/>
    <xf numFmtId="2" fontId="0" fillId="26" borderId="0" xfId="0" applyNumberFormat="1" applyFill="1"/>
    <xf numFmtId="9" fontId="0" fillId="26" borderId="0" xfId="0" applyNumberFormat="1" applyFill="1"/>
    <xf numFmtId="173" fontId="0" fillId="26" borderId="0" xfId="21" applyNumberFormat="1" applyFont="1" applyFill="1"/>
    <xf numFmtId="173" fontId="0" fillId="26" borderId="0" xfId="0" applyNumberFormat="1" applyFill="1"/>
    <xf numFmtId="43" fontId="0" fillId="26" borderId="0" xfId="0" applyNumberFormat="1" applyFill="1"/>
    <xf numFmtId="175" fontId="0" fillId="0" borderId="0" xfId="0" applyNumberFormat="1"/>
    <xf numFmtId="0" fontId="6" fillId="0" borderId="63" xfId="0" applyFont="1" applyBorder="1"/>
    <xf numFmtId="164" fontId="0" fillId="0" borderId="22" xfId="0" applyNumberFormat="1" applyBorder="1"/>
    <xf numFmtId="43" fontId="0" fillId="0" borderId="22" xfId="0" applyNumberFormat="1" applyBorder="1"/>
    <xf numFmtId="0" fontId="2" fillId="26" borderId="22" xfId="0" applyFont="1" applyFill="1" applyBorder="1"/>
    <xf numFmtId="173" fontId="2" fillId="26" borderId="22" xfId="21" applyNumberFormat="1" applyFont="1" applyFill="1" applyBorder="1"/>
    <xf numFmtId="43" fontId="2" fillId="26" borderId="22" xfId="0" applyNumberFormat="1" applyFont="1" applyFill="1" applyBorder="1"/>
    <xf numFmtId="0" fontId="6" fillId="0" borderId="0" xfId="0" applyFont="1" applyAlignment="1">
      <alignment horizontal="right"/>
    </xf>
    <xf numFmtId="0" fontId="48" fillId="0" borderId="0" xfId="0" applyFont="1" applyAlignment="1">
      <alignment horizontal="center"/>
    </xf>
    <xf numFmtId="0" fontId="0" fillId="26" borderId="22" xfId="0" applyFill="1" applyBorder="1"/>
    <xf numFmtId="9" fontId="0" fillId="26" borderId="22" xfId="0" applyNumberFormat="1" applyFill="1" applyBorder="1"/>
    <xf numFmtId="2" fontId="0" fillId="26" borderId="22" xfId="0" applyNumberFormat="1" applyFill="1" applyBorder="1"/>
    <xf numFmtId="43" fontId="0" fillId="26" borderId="22" xfId="0" applyNumberFormat="1" applyFill="1" applyBorder="1"/>
    <xf numFmtId="0" fontId="0" fillId="27" borderId="0" xfId="0" applyFill="1"/>
    <xf numFmtId="165" fontId="0" fillId="27" borderId="0" xfId="0" applyNumberFormat="1" applyFill="1"/>
    <xf numFmtId="0" fontId="4" fillId="0" borderId="0" xfId="23"/>
    <xf numFmtId="164" fontId="0" fillId="27" borderId="0" xfId="0" applyNumberFormat="1" applyFill="1"/>
    <xf numFmtId="166" fontId="2" fillId="0" borderId="0" xfId="0" applyNumberFormat="1" applyFont="1" applyBorder="1"/>
    <xf numFmtId="0" fontId="49" fillId="0" borderId="0" xfId="24"/>
    <xf numFmtId="0" fontId="49" fillId="0" borderId="8" xfId="24" applyBorder="1"/>
    <xf numFmtId="0" fontId="49" fillId="0" borderId="7" xfId="24" applyBorder="1"/>
    <xf numFmtId="0" fontId="49" fillId="0" borderId="6" xfId="24" applyBorder="1"/>
    <xf numFmtId="0" fontId="49" fillId="0" borderId="5" xfId="24" applyBorder="1"/>
    <xf numFmtId="0" fontId="49" fillId="0" borderId="4" xfId="24" applyBorder="1"/>
    <xf numFmtId="0" fontId="3" fillId="0" borderId="4" xfId="24" applyFont="1" applyBorder="1"/>
    <xf numFmtId="1" fontId="49" fillId="0" borderId="0" xfId="24" applyNumberFormat="1"/>
    <xf numFmtId="0" fontId="19" fillId="0" borderId="4" xfId="24" applyFont="1" applyBorder="1"/>
    <xf numFmtId="0" fontId="49" fillId="22" borderId="4" xfId="24" applyFill="1" applyBorder="1"/>
    <xf numFmtId="9" fontId="49" fillId="0" borderId="0" xfId="24" applyNumberFormat="1"/>
    <xf numFmtId="166" fontId="49" fillId="0" borderId="0" xfId="24" applyNumberFormat="1"/>
    <xf numFmtId="0" fontId="19" fillId="0" borderId="0" xfId="24" applyFont="1"/>
    <xf numFmtId="0" fontId="49" fillId="0" borderId="3" xfId="24" applyBorder="1"/>
    <xf numFmtId="0" fontId="49" fillId="0" borderId="2" xfId="24" applyBorder="1"/>
    <xf numFmtId="0" fontId="49" fillId="0" borderId="1" xfId="24" applyBorder="1"/>
    <xf numFmtId="0" fontId="19" fillId="0" borderId="1" xfId="24" applyFont="1" applyBorder="1"/>
    <xf numFmtId="0" fontId="3" fillId="0" borderId="0" xfId="24" applyFont="1"/>
    <xf numFmtId="0" fontId="1" fillId="0" borderId="0" xfId="25"/>
    <xf numFmtId="0" fontId="1" fillId="0" borderId="0" xfId="26"/>
    <xf numFmtId="0" fontId="1" fillId="22" borderId="0" xfId="26" applyFill="1"/>
    <xf numFmtId="1" fontId="1" fillId="22" borderId="0" xfId="26" applyNumberFormat="1" applyFill="1"/>
    <xf numFmtId="173" fontId="0" fillId="0" borderId="5" xfId="21" applyNumberFormat="1" applyFont="1" applyBorder="1"/>
    <xf numFmtId="0" fontId="0" fillId="0" borderId="64" xfId="0" applyBorder="1"/>
    <xf numFmtId="0" fontId="0" fillId="13" borderId="0" xfId="0" applyFill="1"/>
    <xf numFmtId="0" fontId="12" fillId="0" borderId="0" xfId="0" applyFont="1"/>
    <xf numFmtId="166" fontId="0" fillId="0" borderId="22" xfId="0" applyNumberFormat="1" applyBorder="1"/>
    <xf numFmtId="0" fontId="0" fillId="0" borderId="22" xfId="0" applyFont="1" applyBorder="1"/>
    <xf numFmtId="165" fontId="0" fillId="0" borderId="22" xfId="1" applyNumberFormat="1" applyFont="1" applyBorder="1"/>
    <xf numFmtId="9" fontId="0" fillId="0" borderId="22" xfId="2" applyFont="1" applyBorder="1"/>
    <xf numFmtId="8" fontId="0" fillId="0" borderId="22" xfId="0" applyNumberFormat="1" applyBorder="1"/>
    <xf numFmtId="9" fontId="0" fillId="0" borderId="6" xfId="0" applyNumberFormat="1" applyBorder="1"/>
    <xf numFmtId="9" fontId="0" fillId="0" borderId="7" xfId="2" applyFont="1" applyBorder="1"/>
    <xf numFmtId="165" fontId="0" fillId="0" borderId="6" xfId="1" applyNumberFormat="1" applyFont="1" applyBorder="1"/>
    <xf numFmtId="173" fontId="0" fillId="0" borderId="7" xfId="21" applyNumberFormat="1" applyFont="1" applyBorder="1"/>
    <xf numFmtId="173" fontId="0" fillId="0" borderId="8" xfId="21" applyNumberFormat="1" applyFont="1" applyBorder="1"/>
    <xf numFmtId="0" fontId="6" fillId="0" borderId="22" xfId="0" applyFont="1" applyBorder="1"/>
    <xf numFmtId="0" fontId="15" fillId="4" borderId="17" xfId="11" applyBorder="1" applyAlignment="1">
      <alignment wrapText="1"/>
    </xf>
    <xf numFmtId="0" fontId="15" fillId="4" borderId="18" xfId="11" applyBorder="1" applyAlignment="1">
      <alignment wrapText="1"/>
    </xf>
    <xf numFmtId="0" fontId="0" fillId="0" borderId="17" xfId="0" applyBorder="1"/>
    <xf numFmtId="0" fontId="0" fillId="0" borderId="18" xfId="0" applyBorder="1"/>
    <xf numFmtId="0" fontId="0" fillId="0" borderId="17" xfId="0" quotePrefix="1" applyBorder="1"/>
    <xf numFmtId="166" fontId="0" fillId="0" borderId="17" xfId="0" applyNumberFormat="1" applyBorder="1"/>
    <xf numFmtId="2" fontId="0" fillId="0" borderId="17" xfId="0" applyNumberFormat="1" applyBorder="1"/>
    <xf numFmtId="0" fontId="1" fillId="23" borderId="17" xfId="20" applyBorder="1"/>
    <xf numFmtId="0" fontId="1" fillId="23" borderId="18" xfId="20" applyBorder="1"/>
    <xf numFmtId="1" fontId="0" fillId="0" borderId="17" xfId="0" applyNumberFormat="1" applyBorder="1"/>
    <xf numFmtId="9" fontId="0" fillId="0" borderId="17" xfId="0" applyNumberFormat="1" applyBorder="1"/>
    <xf numFmtId="166" fontId="2" fillId="0" borderId="17" xfId="0" applyNumberFormat="1" applyFont="1" applyBorder="1"/>
    <xf numFmtId="0" fontId="2" fillId="0" borderId="17" xfId="0" applyFont="1" applyBorder="1"/>
    <xf numFmtId="0" fontId="2" fillId="0" borderId="17" xfId="0" quotePrefix="1" applyFont="1" applyBorder="1"/>
    <xf numFmtId="0" fontId="10" fillId="0" borderId="18" xfId="7" applyBorder="1" applyAlignment="1">
      <alignment horizontal="right"/>
    </xf>
    <xf numFmtId="0" fontId="12" fillId="0" borderId="0" xfId="7" applyFont="1"/>
    <xf numFmtId="0" fontId="10" fillId="0" borderId="65" xfId="7" applyBorder="1"/>
    <xf numFmtId="0" fontId="11" fillId="7" borderId="16" xfId="7" applyFont="1" applyFill="1" applyBorder="1"/>
    <xf numFmtId="0" fontId="11" fillId="7" borderId="18" xfId="7" applyFont="1" applyFill="1" applyBorder="1" applyAlignment="1">
      <alignment horizontal="right"/>
    </xf>
    <xf numFmtId="0" fontId="0" fillId="9" borderId="0" xfId="0" applyFill="1"/>
    <xf numFmtId="165" fontId="0" fillId="0" borderId="17" xfId="1" applyNumberFormat="1" applyFont="1" applyBorder="1"/>
    <xf numFmtId="1" fontId="0" fillId="9" borderId="0" xfId="0" applyNumberFormat="1" applyFill="1"/>
    <xf numFmtId="0" fontId="0" fillId="0" borderId="22" xfId="0" applyFill="1" applyBorder="1"/>
    <xf numFmtId="0" fontId="0" fillId="0" borderId="17" xfId="0" applyBorder="1" applyAlignment="1">
      <alignment horizontal="center" vertical="center"/>
    </xf>
    <xf numFmtId="0" fontId="1" fillId="2" borderId="0" xfId="15" applyFill="1"/>
    <xf numFmtId="176" fontId="1" fillId="0" borderId="0" xfId="15" applyNumberFormat="1"/>
    <xf numFmtId="9" fontId="1" fillId="0" borderId="0" xfId="15" applyNumberFormat="1"/>
    <xf numFmtId="176" fontId="1" fillId="0" borderId="0" xfId="28" applyNumberFormat="1" applyFont="1"/>
    <xf numFmtId="0" fontId="1" fillId="22" borderId="0" xfId="15" applyFill="1"/>
    <xf numFmtId="2" fontId="1" fillId="22" borderId="0" xfId="15" applyNumberFormat="1" applyFill="1"/>
    <xf numFmtId="2" fontId="1" fillId="0" borderId="0" xfId="15" applyNumberFormat="1"/>
    <xf numFmtId="167" fontId="1" fillId="22" borderId="0" xfId="15" applyNumberFormat="1" applyFill="1"/>
    <xf numFmtId="167" fontId="1" fillId="0" borderId="0" xfId="15" applyNumberFormat="1"/>
    <xf numFmtId="2" fontId="49" fillId="0" borderId="0" xfId="24" applyNumberFormat="1"/>
    <xf numFmtId="0" fontId="50" fillId="28" borderId="0" xfId="27"/>
    <xf numFmtId="0" fontId="51" fillId="22" borderId="0" xfId="24" applyFont="1" applyFill="1" applyAlignment="1">
      <alignment vertical="center"/>
    </xf>
    <xf numFmtId="0" fontId="52" fillId="22" borderId="0" xfId="24" applyFont="1" applyFill="1" applyAlignment="1">
      <alignment vertical="center"/>
    </xf>
    <xf numFmtId="0" fontId="51" fillId="22" borderId="0" xfId="24" applyFont="1" applyFill="1" applyAlignment="1">
      <alignment horizontal="right" vertical="center"/>
    </xf>
    <xf numFmtId="0" fontId="1" fillId="0" borderId="4" xfId="15" applyBorder="1"/>
    <xf numFmtId="167" fontId="49" fillId="0" borderId="0" xfId="24" applyNumberFormat="1"/>
    <xf numFmtId="167" fontId="49" fillId="22" borderId="0" xfId="24" applyNumberFormat="1" applyFill="1"/>
    <xf numFmtId="167" fontId="49" fillId="0" borderId="7" xfId="24" applyNumberFormat="1" applyBorder="1"/>
    <xf numFmtId="167" fontId="49" fillId="22" borderId="7" xfId="24" applyNumberFormat="1" applyFill="1" applyBorder="1"/>
    <xf numFmtId="177" fontId="0" fillId="0" borderId="0" xfId="28" applyFont="1" applyBorder="1"/>
    <xf numFmtId="0" fontId="1" fillId="0" borderId="2" xfId="15" applyBorder="1"/>
    <xf numFmtId="0" fontId="49" fillId="22" borderId="0" xfId="24" applyFill="1"/>
    <xf numFmtId="0" fontId="19" fillId="22" borderId="0" xfId="24" applyFont="1" applyFill="1"/>
    <xf numFmtId="170" fontId="49" fillId="0" borderId="0" xfId="24" applyNumberFormat="1"/>
    <xf numFmtId="178" fontId="49" fillId="0" borderId="0" xfId="24" applyNumberFormat="1"/>
    <xf numFmtId="0" fontId="19" fillId="22" borderId="8" xfId="24" applyFont="1" applyFill="1" applyBorder="1"/>
    <xf numFmtId="178" fontId="0" fillId="0" borderId="0" xfId="28" applyNumberFormat="1" applyFont="1" applyBorder="1"/>
    <xf numFmtId="9" fontId="0" fillId="0" borderId="0" xfId="29" applyFont="1" applyBorder="1"/>
    <xf numFmtId="2" fontId="53" fillId="0" borderId="5" xfId="24" applyNumberFormat="1" applyFont="1" applyBorder="1"/>
    <xf numFmtId="0" fontId="53" fillId="22" borderId="0" xfId="24" applyFont="1" applyFill="1"/>
    <xf numFmtId="2" fontId="53" fillId="22" borderId="0" xfId="24" applyNumberFormat="1" applyFont="1" applyFill="1"/>
    <xf numFmtId="166" fontId="53" fillId="22" borderId="0" xfId="24" applyNumberFormat="1" applyFont="1" applyFill="1"/>
    <xf numFmtId="2" fontId="49" fillId="22" borderId="0" xfId="24" applyNumberFormat="1" applyFill="1"/>
    <xf numFmtId="0" fontId="3" fillId="0" borderId="5" xfId="24" applyFont="1" applyBorder="1"/>
    <xf numFmtId="0" fontId="3" fillId="22" borderId="0" xfId="24" applyFont="1" applyFill="1"/>
    <xf numFmtId="0" fontId="53" fillId="0" borderId="0" xfId="24" applyFont="1"/>
    <xf numFmtId="0" fontId="1" fillId="0" borderId="6" xfId="15" applyBorder="1"/>
    <xf numFmtId="0" fontId="19" fillId="0" borderId="4" xfId="0" applyFont="1" applyBorder="1"/>
    <xf numFmtId="0" fontId="19" fillId="0" borderId="0" xfId="0" applyFont="1"/>
    <xf numFmtId="0" fontId="3" fillId="0" borderId="0" xfId="0" applyFont="1"/>
    <xf numFmtId="0" fontId="0" fillId="10" borderId="0" xfId="0" applyFill="1"/>
    <xf numFmtId="0" fontId="19" fillId="0" borderId="7" xfId="0" applyFont="1" applyBorder="1" applyAlignment="1">
      <alignment wrapText="1"/>
    </xf>
    <xf numFmtId="0" fontId="19" fillId="0" borderId="7" xfId="0" applyFont="1" applyBorder="1"/>
    <xf numFmtId="2" fontId="19" fillId="0" borderId="0" xfId="0" applyNumberFormat="1" applyFont="1"/>
    <xf numFmtId="0" fontId="3" fillId="0" borderId="0" xfId="0" quotePrefix="1" applyFont="1"/>
    <xf numFmtId="0" fontId="19" fillId="0" borderId="2" xfId="0" applyFont="1" applyBorder="1"/>
    <xf numFmtId="0" fontId="3" fillId="0" borderId="1" xfId="0" applyFont="1" applyBorder="1"/>
    <xf numFmtId="0" fontId="54" fillId="0" borderId="0" xfId="0" applyFont="1"/>
    <xf numFmtId="0" fontId="0" fillId="22" borderId="0" xfId="0" applyFill="1" applyBorder="1"/>
    <xf numFmtId="0" fontId="55" fillId="29" borderId="66" xfId="0" applyFont="1" applyFill="1" applyBorder="1" applyAlignment="1">
      <alignment horizontal="center" vertical="center" wrapText="1"/>
    </xf>
    <xf numFmtId="0" fontId="2" fillId="0" borderId="0" xfId="0" applyFont="1" applyAlignment="1">
      <alignment wrapText="1"/>
    </xf>
    <xf numFmtId="15" fontId="0" fillId="0" borderId="0" xfId="0" applyNumberFormat="1"/>
    <xf numFmtId="16" fontId="0" fillId="0" borderId="0" xfId="0" applyNumberFormat="1"/>
    <xf numFmtId="0" fontId="0" fillId="0" borderId="0" xfId="0" applyAlignment="1">
      <alignment horizontal="center"/>
    </xf>
    <xf numFmtId="0" fontId="0" fillId="0" borderId="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2" fillId="0" borderId="4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0" fontId="0" fillId="0" borderId="23" xfId="0" applyBorder="1" applyAlignment="1">
      <alignment horizontal="center" wrapText="1"/>
    </xf>
    <xf numFmtId="0" fontId="0" fillId="0" borderId="24" xfId="0" applyBorder="1" applyAlignment="1">
      <alignment horizontal="center" wrapText="1"/>
    </xf>
    <xf numFmtId="0" fontId="0" fillId="0" borderId="7" xfId="0" applyBorder="1" applyAlignment="1">
      <alignment horizontal="center"/>
    </xf>
    <xf numFmtId="0" fontId="2" fillId="0" borderId="4" xfId="0" applyFont="1" applyBorder="1" applyAlignment="1">
      <alignment horizontal="center" vertical="center" textRotation="90"/>
    </xf>
    <xf numFmtId="0" fontId="2" fillId="0" borderId="6" xfId="0" applyFont="1" applyBorder="1" applyAlignment="1">
      <alignment horizontal="center" vertical="center" textRotation="90"/>
    </xf>
    <xf numFmtId="0" fontId="2" fillId="0" borderId="4" xfId="0" applyFont="1" applyBorder="1" applyAlignment="1">
      <alignment horizontal="center" vertical="center" textRotation="90" wrapText="1"/>
    </xf>
    <xf numFmtId="0" fontId="2" fillId="0" borderId="6" xfId="0" applyFont="1" applyBorder="1" applyAlignment="1">
      <alignment horizontal="center" vertical="center" textRotation="90" wrapText="1"/>
    </xf>
    <xf numFmtId="0" fontId="0" fillId="0" borderId="0" xfId="0" applyBorder="1" applyAlignment="1">
      <alignment horizontal="center" vertical="center" wrapText="1"/>
    </xf>
    <xf numFmtId="0" fontId="7" fillId="0" borderId="0" xfId="4" applyAlignment="1">
      <alignment horizontal="center"/>
    </xf>
    <xf numFmtId="0" fontId="28" fillId="11" borderId="26" xfId="4" applyFont="1" applyFill="1" applyBorder="1" applyAlignment="1">
      <alignment horizontal="center"/>
    </xf>
    <xf numFmtId="0" fontId="28" fillId="11" borderId="27" xfId="4" applyFont="1" applyFill="1" applyBorder="1" applyAlignment="1">
      <alignment horizontal="center"/>
    </xf>
    <xf numFmtId="0" fontId="28" fillId="11" borderId="30" xfId="4" applyFont="1" applyFill="1" applyBorder="1" applyAlignment="1">
      <alignment horizontal="center"/>
    </xf>
    <xf numFmtId="0" fontId="28" fillId="11" borderId="32" xfId="4" applyFont="1" applyFill="1" applyBorder="1" applyAlignment="1">
      <alignment horizontal="center"/>
    </xf>
    <xf numFmtId="0" fontId="28" fillId="11" borderId="33" xfId="4" applyFont="1" applyFill="1" applyBorder="1" applyAlignment="1">
      <alignment horizontal="center"/>
    </xf>
    <xf numFmtId="0" fontId="29" fillId="11" borderId="23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8" fillId="11" borderId="28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 wrapText="1"/>
    </xf>
    <xf numFmtId="0" fontId="28" fillId="11" borderId="49" xfId="4" applyFont="1" applyFill="1" applyBorder="1" applyAlignment="1">
      <alignment horizontal="center" wrapText="1"/>
    </xf>
    <xf numFmtId="0" fontId="28" fillId="11" borderId="48" xfId="4" applyFont="1" applyFill="1" applyBorder="1" applyAlignment="1">
      <alignment horizontal="center"/>
    </xf>
    <xf numFmtId="0" fontId="28" fillId="11" borderId="25" xfId="4" applyFont="1" applyFill="1" applyBorder="1" applyAlignment="1">
      <alignment horizontal="center" wrapText="1"/>
    </xf>
    <xf numFmtId="0" fontId="28" fillId="11" borderId="34" xfId="4" applyFont="1" applyFill="1" applyBorder="1" applyAlignment="1">
      <alignment horizontal="center" wrapText="1"/>
    </xf>
    <xf numFmtId="0" fontId="28" fillId="11" borderId="39" xfId="4" applyFont="1" applyFill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4" xfId="0" applyFont="1" applyBorder="1" applyAlignment="1">
      <alignment horizontal="center" vertical="center" wrapText="1"/>
    </xf>
  </cellXfs>
  <cellStyles count="30">
    <cellStyle name="20% - Accent1" xfId="20" builtinId="30"/>
    <cellStyle name="40% - Accent1 2" xfId="12" xr:uid="{00000000-0005-0000-0000-000000000000}"/>
    <cellStyle name="60% - Accent1 2" xfId="13" xr:uid="{00000000-0005-0000-0000-000001000000}"/>
    <cellStyle name="Accent1 2" xfId="11" xr:uid="{00000000-0005-0000-0000-000002000000}"/>
    <cellStyle name="Check Cell 2" xfId="9" xr:uid="{00000000-0005-0000-0000-000003000000}"/>
    <cellStyle name="Comma" xfId="1" builtinId="3"/>
    <cellStyle name="Comma 2" xfId="21" xr:uid="{82C2ED07-5F05-404C-B67D-22ACBF69BBCF}"/>
    <cellStyle name="Comma 2 2" xfId="22" xr:uid="{2B5E9149-F4C0-4853-9C53-F862BC5E52D3}"/>
    <cellStyle name="Comma 3" xfId="28" xr:uid="{522DE0E0-E915-4DFE-B3B8-6B3CF252A0EE}"/>
    <cellStyle name="Explanatory Text 2" xfId="8" xr:uid="{00000000-0005-0000-0000-000005000000}"/>
    <cellStyle name="Good" xfId="27" builtinId="26"/>
    <cellStyle name="Heading 1" xfId="5" builtinId="16"/>
    <cellStyle name="Heading 2" xfId="6" builtinId="17"/>
    <cellStyle name="Hyperlink" xfId="16" builtinId="8"/>
    <cellStyle name="Hyperlink 2" xfId="19" xr:uid="{0143E5AC-13E9-4364-AA0C-7B5064949C3C}"/>
    <cellStyle name="IPCC" xfId="18" xr:uid="{060CFEAA-B409-4E5C-B4B9-C84A33D3D71A}"/>
    <cellStyle name="Normal" xfId="0" builtinId="0"/>
    <cellStyle name="Normal 11" xfId="26" xr:uid="{78DEB395-FB3B-4F08-B9EE-F9879AB5464E}"/>
    <cellStyle name="Normal 12" xfId="25" xr:uid="{0E5F3C21-CC91-4388-B1DE-DAB2319F08BA}"/>
    <cellStyle name="Normal 2" xfId="4" xr:uid="{00000000-0005-0000-0000-00000A000000}"/>
    <cellStyle name="Normal 2 2" xfId="3" xr:uid="{00000000-0005-0000-0000-00000B000000}"/>
    <cellStyle name="Normal 3" xfId="7" xr:uid="{00000000-0005-0000-0000-00000C000000}"/>
    <cellStyle name="Normal 4" xfId="24" xr:uid="{3CD82EF2-3FA7-4DB6-9E45-512B557BA2E2}"/>
    <cellStyle name="Normal 5" xfId="23" xr:uid="{1F07B887-6BEA-46A2-81EA-61A464C4B4E4}"/>
    <cellStyle name="Normal 7" xfId="14" xr:uid="{00000000-0005-0000-0000-00000D000000}"/>
    <cellStyle name="Normal 8" xfId="15" xr:uid="{00000000-0005-0000-0000-00000E000000}"/>
    <cellStyle name="Percent" xfId="2" builtinId="5"/>
    <cellStyle name="Percent 2" xfId="10" xr:uid="{00000000-0005-0000-0000-000010000000}"/>
    <cellStyle name="Percent 2 2" xfId="17" xr:uid="{00000000-0005-0000-0000-000011000000}"/>
    <cellStyle name="Percent 3" xfId="29" xr:uid="{B1800769-9E19-4312-B101-6C6432B5EE24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1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6.xml"/><Relationship Id="rId42" Type="http://schemas.openxmlformats.org/officeDocument/2006/relationships/externalLink" Target="externalLinks/externalLink14.xml"/><Relationship Id="rId47" Type="http://schemas.openxmlformats.org/officeDocument/2006/relationships/externalLink" Target="externalLinks/externalLink19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4.xml"/><Relationship Id="rId37" Type="http://schemas.openxmlformats.org/officeDocument/2006/relationships/externalLink" Target="externalLinks/externalLink9.xml"/><Relationship Id="rId40" Type="http://schemas.openxmlformats.org/officeDocument/2006/relationships/externalLink" Target="externalLinks/externalLink12.xml"/><Relationship Id="rId45" Type="http://schemas.openxmlformats.org/officeDocument/2006/relationships/externalLink" Target="externalLinks/externalLink17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3.xml"/><Relationship Id="rId44" Type="http://schemas.openxmlformats.org/officeDocument/2006/relationships/externalLink" Target="externalLinks/externalLink16.xml"/><Relationship Id="rId52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externalLink" Target="externalLinks/externalLink7.xml"/><Relationship Id="rId43" Type="http://schemas.openxmlformats.org/officeDocument/2006/relationships/externalLink" Target="externalLinks/externalLink15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sheetMetadata" Target="metadata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5.xml"/><Relationship Id="rId38" Type="http://schemas.openxmlformats.org/officeDocument/2006/relationships/externalLink" Target="externalLinks/externalLink10.xml"/><Relationship Id="rId46" Type="http://schemas.openxmlformats.org/officeDocument/2006/relationships/externalLink" Target="externalLinks/externalLink18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8.xml"/><Relationship Id="rId4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12270341207353"/>
          <c:y val="5.0925925925925923E-2"/>
          <c:w val="0.80916907261592297"/>
          <c:h val="0.7435032079323418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'H-DRI literature and calcs'!$AO$136:$AP$136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'H-DRI literature and calcs'!$AO$137:$AP$137</c:f>
              <c:numCache>
                <c:formatCode>General</c:formatCode>
                <c:ptCount val="2"/>
                <c:pt idx="0">
                  <c:v>0.66700000000000004</c:v>
                </c:pt>
                <c:pt idx="1">
                  <c:v>0.753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1C-4DDA-B182-70DF16B9A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11464"/>
        <c:axId val="169942816"/>
      </c:scatterChart>
      <c:valAx>
        <c:axId val="121211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Share of HBI input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42816"/>
        <c:crosses val="autoZero"/>
        <c:crossBetween val="midCat"/>
      </c:valAx>
      <c:valAx>
        <c:axId val="16994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MWh/t</a:t>
                </a:r>
                <a:r>
                  <a:rPr lang="en-ZA" baseline="0"/>
                  <a:t> LS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11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'H-DRI literature and calcs'!$AC$181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'H-DRI literature and calcs'!$AB$182:$AB$186</c:f>
              <c:numCache>
                <c:formatCode>General</c:formatCode>
                <c:ptCount val="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</c:numCache>
            </c:numRef>
          </c:xVal>
          <c:yVal>
            <c:numRef>
              <c:f>'H-DRI literature and calcs'!$AC$182:$AC$186</c:f>
              <c:numCache>
                <c:formatCode>General</c:formatCode>
                <c:ptCount val="5"/>
                <c:pt idx="0">
                  <c:v>175</c:v>
                </c:pt>
                <c:pt idx="1">
                  <c:v>235</c:v>
                </c:pt>
                <c:pt idx="2">
                  <c:v>350</c:v>
                </c:pt>
                <c:pt idx="3">
                  <c:v>590</c:v>
                </c:pt>
                <c:pt idx="4">
                  <c:v>650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75-4E21-86B3-4F65BB91F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89096"/>
        <c:axId val="452547384"/>
      </c:scatterChart>
      <c:valAx>
        <c:axId val="121589096"/>
        <c:scaling>
          <c:orientation val="minMax"/>
          <c:max val="10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47384"/>
        <c:crosses val="autoZero"/>
        <c:crossBetween val="midCat"/>
      </c:valAx>
      <c:valAx>
        <c:axId val="452547384"/>
        <c:scaling>
          <c:orientation val="minMax"/>
          <c:max val="6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89096"/>
        <c:crosses val="autoZero"/>
        <c:crossBetween val="midCat"/>
        <c:majorUnit val="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115194788388788E-2"/>
          <c:y val="0.14053759863614973"/>
          <c:w val="0.87355174882339059"/>
          <c:h val="0.68004863009393335"/>
        </c:manualLayout>
      </c:layout>
      <c:scatterChart>
        <c:scatterStyle val="lineMarker"/>
        <c:varyColors val="0"/>
        <c:ser>
          <c:idx val="0"/>
          <c:order val="0"/>
          <c:tx>
            <c:strRef>
              <c:f>'H-DRI literature and calcs'!$AC$210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'H-DRI literature and calcs'!$AB$211:$AB$217</c:f>
              <c:numCache>
                <c:formatCode>0%</c:formatCode>
                <c:ptCount val="7"/>
                <c:pt idx="0">
                  <c:v>1</c:v>
                </c:pt>
                <c:pt idx="1">
                  <c:v>0</c:v>
                </c:pt>
                <c:pt idx="2">
                  <c:v>0.2</c:v>
                </c:pt>
                <c:pt idx="3">
                  <c:v>0.2</c:v>
                </c:pt>
                <c:pt idx="4">
                  <c:v>0</c:v>
                </c:pt>
                <c:pt idx="5">
                  <c:v>0</c:v>
                </c:pt>
                <c:pt idx="6">
                  <c:v>0.2</c:v>
                </c:pt>
              </c:numCache>
            </c:numRef>
          </c:xVal>
          <c:yVal>
            <c:numRef>
              <c:f>'H-DRI literature and calcs'!$AC$211:$AC$217</c:f>
              <c:numCache>
                <c:formatCode>General</c:formatCode>
                <c:ptCount val="7"/>
                <c:pt idx="0">
                  <c:v>0.66700000000000004</c:v>
                </c:pt>
                <c:pt idx="1">
                  <c:v>3.48</c:v>
                </c:pt>
                <c:pt idx="2">
                  <c:v>2.16</c:v>
                </c:pt>
                <c:pt idx="3">
                  <c:v>1.9</c:v>
                </c:pt>
                <c:pt idx="4">
                  <c:v>2.72</c:v>
                </c:pt>
                <c:pt idx="5">
                  <c:v>2.41</c:v>
                </c:pt>
                <c:pt idx="6">
                  <c:v>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E2-47CB-82B2-0839EDD33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550912"/>
        <c:axId val="220413528"/>
      </c:scatterChart>
      <c:valAx>
        <c:axId val="45255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413528"/>
        <c:crosses val="autoZero"/>
        <c:crossBetween val="midCat"/>
      </c:valAx>
      <c:valAx>
        <c:axId val="22041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50912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openxmlformats.org/officeDocument/2006/relationships/image" Target="../media/image3.emf"/><Relationship Id="rId7" Type="http://schemas.openxmlformats.org/officeDocument/2006/relationships/image" Target="../media/image5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chart" Target="../charts/chart2.xml"/><Relationship Id="rId5" Type="http://schemas.openxmlformats.org/officeDocument/2006/relationships/image" Target="../media/image4.emf"/><Relationship Id="rId4" Type="http://schemas.openxmlformats.org/officeDocument/2006/relationships/chart" Target="../charts/chart1.xml"/><Relationship Id="rId9" Type="http://schemas.openxmlformats.org/officeDocument/2006/relationships/image" Target="../media/image6.emf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1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emf"/><Relationship Id="rId1" Type="http://schemas.openxmlformats.org/officeDocument/2006/relationships/image" Target="../media/image1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353785</xdr:colOff>
      <xdr:row>52</xdr:row>
      <xdr:rowOff>122465</xdr:rowOff>
    </xdr:from>
    <xdr:to>
      <xdr:col>27</xdr:col>
      <xdr:colOff>258536</xdr:colOff>
      <xdr:row>54</xdr:row>
      <xdr:rowOff>149679</xdr:rowOff>
    </xdr:to>
    <xdr:sp macro="" textlink="">
      <xdr:nvSpPr>
        <xdr:cNvPr id="4" name="Down Arrow 4">
          <a:extLst>
            <a:ext uri="{FF2B5EF4-FFF2-40B4-BE49-F238E27FC236}">
              <a16:creationId xmlns:a16="http://schemas.microsoft.com/office/drawing/2014/main" id="{658FD3BF-D4CB-4F35-813B-EBED1DFDCCD1}"/>
            </a:ext>
          </a:extLst>
        </xdr:cNvPr>
        <xdr:cNvSpPr/>
      </xdr:nvSpPr>
      <xdr:spPr>
        <a:xfrm>
          <a:off x="963385" y="7551965"/>
          <a:ext cx="1066801" cy="40821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oneCellAnchor>
    <xdr:from>
      <xdr:col>26</xdr:col>
      <xdr:colOff>37653</xdr:colOff>
      <xdr:row>81</xdr:row>
      <xdr:rowOff>125280</xdr:rowOff>
    </xdr:from>
    <xdr:ext cx="7351506" cy="3638775"/>
    <xdr:pic>
      <xdr:nvPicPr>
        <xdr:cNvPr id="5" name="Picture 4">
          <a:extLst>
            <a:ext uri="{FF2B5EF4-FFF2-40B4-BE49-F238E27FC236}">
              <a16:creationId xmlns:a16="http://schemas.microsoft.com/office/drawing/2014/main" id="{5D677F04-538A-464C-BE25-1F2A93391AF9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853" y="14746155"/>
          <a:ext cx="7351506" cy="363877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25</xdr:col>
      <xdr:colOff>91889</xdr:colOff>
      <xdr:row>16</xdr:row>
      <xdr:rowOff>57150</xdr:rowOff>
    </xdr:from>
    <xdr:to>
      <xdr:col>37</xdr:col>
      <xdr:colOff>78554</xdr:colOff>
      <xdr:row>52</xdr:row>
      <xdr:rowOff>142875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6BAE0E2-B6C8-429E-B7C4-377AD713E412}"/>
            </a:ext>
          </a:extLst>
        </xdr:cNvPr>
        <xdr:cNvGrpSpPr/>
      </xdr:nvGrpSpPr>
      <xdr:grpSpPr>
        <a:xfrm>
          <a:off x="16710213" y="3362885"/>
          <a:ext cx="7248076" cy="6943725"/>
          <a:chOff x="8239125" y="628650"/>
          <a:chExt cx="8082915" cy="6943725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0958832-9A0C-43FA-A8A0-3EDB804B3F8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239125" y="628650"/>
            <a:ext cx="8082915" cy="494919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F7102CA5-9B25-4A8B-A7B4-4AF495E87BB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458200" y="5543550"/>
            <a:ext cx="7648575" cy="20288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39</xdr:col>
      <xdr:colOff>570988</xdr:colOff>
      <xdr:row>146</xdr:row>
      <xdr:rowOff>10748</xdr:rowOff>
    </xdr:from>
    <xdr:to>
      <xdr:col>47</xdr:col>
      <xdr:colOff>263467</xdr:colOff>
      <xdr:row>160</xdr:row>
      <xdr:rowOff>89190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1C4CE51-9B91-478F-BFBB-EBEABCD34F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26</xdr:col>
      <xdr:colOff>605790</xdr:colOff>
      <xdr:row>151</xdr:row>
      <xdr:rowOff>19049</xdr:rowOff>
    </xdr:from>
    <xdr:ext cx="6447090" cy="5306913"/>
    <xdr:pic>
      <xdr:nvPicPr>
        <xdr:cNvPr id="10" name="Picture 9">
          <a:extLst>
            <a:ext uri="{FF2B5EF4-FFF2-40B4-BE49-F238E27FC236}">
              <a16:creationId xmlns:a16="http://schemas.microsoft.com/office/drawing/2014/main" id="{69EB74A2-570D-4796-B686-965D3F284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790" y="5734049"/>
          <a:ext cx="6447090" cy="530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28</xdr:col>
      <xdr:colOff>112058</xdr:colOff>
      <xdr:row>154</xdr:row>
      <xdr:rowOff>31375</xdr:rowOff>
    </xdr:from>
    <xdr:to>
      <xdr:col>36</xdr:col>
      <xdr:colOff>347381</xdr:colOff>
      <xdr:row>177</xdr:row>
      <xdr:rowOff>11206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6F16230-F587-406C-9B35-BFEE6C851D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27</xdr:col>
      <xdr:colOff>67236</xdr:colOff>
      <xdr:row>188</xdr:row>
      <xdr:rowOff>145677</xdr:rowOff>
    </xdr:from>
    <xdr:ext cx="5077139" cy="3432809"/>
    <xdr:pic>
      <xdr:nvPicPr>
        <xdr:cNvPr id="12" name="Picture 11">
          <a:extLst>
            <a:ext uri="{FF2B5EF4-FFF2-40B4-BE49-F238E27FC236}">
              <a16:creationId xmlns:a16="http://schemas.microsoft.com/office/drawing/2014/main" id="{4F9276AA-2BEF-4D66-BF2B-782B22C94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2589" y="35197677"/>
          <a:ext cx="5077139" cy="3432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27</xdr:col>
      <xdr:colOff>269302</xdr:colOff>
      <xdr:row>189</xdr:row>
      <xdr:rowOff>22413</xdr:rowOff>
    </xdr:from>
    <xdr:to>
      <xdr:col>36</xdr:col>
      <xdr:colOff>331304</xdr:colOff>
      <xdr:row>206</xdr:row>
      <xdr:rowOff>132522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07E0EB4-514C-4101-BDED-F434F44FD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369794</xdr:colOff>
      <xdr:row>177</xdr:row>
      <xdr:rowOff>89647</xdr:rowOff>
    </xdr:from>
    <xdr:to>
      <xdr:col>28</xdr:col>
      <xdr:colOff>313764</xdr:colOff>
      <xdr:row>179</xdr:row>
      <xdr:rowOff>179294</xdr:rowOff>
    </xdr:to>
    <xdr:sp macro="" textlink="">
      <xdr:nvSpPr>
        <xdr:cNvPr id="14" name="Arrow: Down 13">
          <a:extLst>
            <a:ext uri="{FF2B5EF4-FFF2-40B4-BE49-F238E27FC236}">
              <a16:creationId xmlns:a16="http://schemas.microsoft.com/office/drawing/2014/main" id="{C6A83AD0-127E-4378-A984-2FA67A363100}"/>
            </a:ext>
          </a:extLst>
        </xdr:cNvPr>
        <xdr:cNvSpPr/>
      </xdr:nvSpPr>
      <xdr:spPr>
        <a:xfrm>
          <a:off x="1741394" y="10757647"/>
          <a:ext cx="553570" cy="47064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2</xdr:col>
      <xdr:colOff>359387</xdr:colOff>
      <xdr:row>13</xdr:row>
      <xdr:rowOff>41622</xdr:rowOff>
    </xdr:from>
    <xdr:to>
      <xdr:col>19</xdr:col>
      <xdr:colOff>487362</xdr:colOff>
      <xdr:row>41</xdr:row>
      <xdr:rowOff>36707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953D7468-9826-4E22-AA54-32FED49A0EE6}"/>
            </a:ext>
          </a:extLst>
        </xdr:cNvPr>
        <xdr:cNvGrpSpPr/>
      </xdr:nvGrpSpPr>
      <xdr:grpSpPr>
        <a:xfrm>
          <a:off x="1569622" y="2618975"/>
          <a:ext cx="11905358" cy="5485967"/>
          <a:chOff x="785819" y="800952"/>
          <a:chExt cx="10521052" cy="5475025"/>
        </a:xfrm>
      </xdr:grpSpPr>
      <xdr:grpSp>
        <xdr:nvGrpSpPr>
          <xdr:cNvPr id="16" name="Group 15">
            <a:extLst>
              <a:ext uri="{FF2B5EF4-FFF2-40B4-BE49-F238E27FC236}">
                <a16:creationId xmlns:a16="http://schemas.microsoft.com/office/drawing/2014/main" id="{0D9552CB-AE0F-4405-B0F1-1EB22515DBBB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22" name="Rectangle: Single Corner Snipped 21">
              <a:extLst>
                <a:ext uri="{FF2B5EF4-FFF2-40B4-BE49-F238E27FC236}">
                  <a16:creationId xmlns:a16="http://schemas.microsoft.com/office/drawing/2014/main" id="{6B97FF8A-7827-4857-98E0-85E1E3D28CE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23" name="Arrow: Pentagon 22">
              <a:extLst>
                <a:ext uri="{FF2B5EF4-FFF2-40B4-BE49-F238E27FC236}">
                  <a16:creationId xmlns:a16="http://schemas.microsoft.com/office/drawing/2014/main" id="{19298437-D942-48AE-8C9A-7381E99BE309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24" name="Rectangle: Rounded Corners 23">
              <a:extLst>
                <a:ext uri="{FF2B5EF4-FFF2-40B4-BE49-F238E27FC236}">
                  <a16:creationId xmlns:a16="http://schemas.microsoft.com/office/drawing/2014/main" id="{828A1851-1260-4462-B1AA-BA17ECFA807A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H</a:t>
              </a:r>
              <a:r>
                <a:rPr lang="en-ZA" baseline="-25000">
                  <a:solidFill>
                    <a:schemeClr val="tx1"/>
                  </a:solidFill>
                </a:rPr>
                <a:t>2</a:t>
              </a:r>
              <a:r>
                <a:rPr lang="en-ZA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25" name="Rectangle: Rounded Corners 24">
              <a:extLst>
                <a:ext uri="{FF2B5EF4-FFF2-40B4-BE49-F238E27FC236}">
                  <a16:creationId xmlns:a16="http://schemas.microsoft.com/office/drawing/2014/main" id="{79FA49CA-E458-4A11-AECE-A9562FE4D477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26" name="Connector: Elbow 25">
              <a:extLst>
                <a:ext uri="{FF2B5EF4-FFF2-40B4-BE49-F238E27FC236}">
                  <a16:creationId xmlns:a16="http://schemas.microsoft.com/office/drawing/2014/main" id="{FF995BE2-4CE9-48AC-963B-5B1749DB9F28}"/>
                </a:ext>
              </a:extLst>
            </xdr:cNvPr>
            <xdr:cNvCxnSpPr>
              <a:cxnSpLocks/>
              <a:stCxn id="23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" name="Straight Connector 26">
              <a:extLst>
                <a:ext uri="{FF2B5EF4-FFF2-40B4-BE49-F238E27FC236}">
                  <a16:creationId xmlns:a16="http://schemas.microsoft.com/office/drawing/2014/main" id="{76F26757-6980-458A-A148-9EC664B1B489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" name="Straight Arrow Connector 27">
              <a:extLst>
                <a:ext uri="{FF2B5EF4-FFF2-40B4-BE49-F238E27FC236}">
                  <a16:creationId xmlns:a16="http://schemas.microsoft.com/office/drawing/2014/main" id="{964EB649-91CE-489D-AEE8-59D570FF223D}"/>
                </a:ext>
              </a:extLst>
            </xdr:cNvPr>
            <xdr:cNvCxnSpPr>
              <a:cxnSpLocks/>
              <a:endCxn id="22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Arrow Connector 28">
              <a:extLst>
                <a:ext uri="{FF2B5EF4-FFF2-40B4-BE49-F238E27FC236}">
                  <a16:creationId xmlns:a16="http://schemas.microsoft.com/office/drawing/2014/main" id="{D849FF86-50CB-4C98-8538-F9249E601485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" name="Straight Arrow Connector 29">
              <a:extLst>
                <a:ext uri="{FF2B5EF4-FFF2-40B4-BE49-F238E27FC236}">
                  <a16:creationId xmlns:a16="http://schemas.microsoft.com/office/drawing/2014/main" id="{7A888EC9-2ECC-42D4-A7BE-F080E8282FF7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" name="Straight Connector 30">
              <a:extLst>
                <a:ext uri="{FF2B5EF4-FFF2-40B4-BE49-F238E27FC236}">
                  <a16:creationId xmlns:a16="http://schemas.microsoft.com/office/drawing/2014/main" id="{3AF29512-EAD1-4127-8516-694D2D5468FB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D9CE8B00-96E4-4CA6-A6AF-A4E00A28E91A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3" name="Straight Arrow Connector 32">
              <a:extLst>
                <a:ext uri="{FF2B5EF4-FFF2-40B4-BE49-F238E27FC236}">
                  <a16:creationId xmlns:a16="http://schemas.microsoft.com/office/drawing/2014/main" id="{013F9E4B-DEFD-4185-A80F-1AFBC62E0692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" name="Straight Arrow Connector 33">
              <a:extLst>
                <a:ext uri="{FF2B5EF4-FFF2-40B4-BE49-F238E27FC236}">
                  <a16:creationId xmlns:a16="http://schemas.microsoft.com/office/drawing/2014/main" id="{CBCAA4E9-499D-4186-A5D2-2BACD083A417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Arrow Connector 34">
              <a:extLst>
                <a:ext uri="{FF2B5EF4-FFF2-40B4-BE49-F238E27FC236}">
                  <a16:creationId xmlns:a16="http://schemas.microsoft.com/office/drawing/2014/main" id="{F08CD54A-0036-45C2-9790-EE3A6B1C3B14}"/>
                </a:ext>
              </a:extLst>
            </xdr:cNvPr>
            <xdr:cNvCxnSpPr>
              <a:cxnSpLocks/>
              <a:stCxn id="37" idx="2"/>
              <a:endCxn id="23" idx="1"/>
            </xdr:cNvCxnSpPr>
          </xdr:nvCxnSpPr>
          <xdr:spPr>
            <a:xfrm>
              <a:off x="7335906" y="1299561"/>
              <a:ext cx="0" cy="251285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6" name="TextBox 41">
              <a:extLst>
                <a:ext uri="{FF2B5EF4-FFF2-40B4-BE49-F238E27FC236}">
                  <a16:creationId xmlns:a16="http://schemas.microsoft.com/office/drawing/2014/main" id="{C2955277-C33D-4052-8A88-BDD6A4740DA0}"/>
                </a:ext>
              </a:extLst>
            </xdr:cNvPr>
            <xdr:cNvSpPr txBox="1"/>
          </xdr:nvSpPr>
          <xdr:spPr>
            <a:xfrm>
              <a:off x="2425895" y="944993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Electricity</a:t>
              </a:r>
            </a:p>
          </xdr:txBody>
        </xdr:sp>
        <xdr:sp macro="" textlink="">
          <xdr:nvSpPr>
            <xdr:cNvPr id="37" name="TextBox 42">
              <a:extLst>
                <a:ext uri="{FF2B5EF4-FFF2-40B4-BE49-F238E27FC236}">
                  <a16:creationId xmlns:a16="http://schemas.microsoft.com/office/drawing/2014/main" id="{34CC0F13-D48A-4B19-9813-4C9262478E8E}"/>
                </a:ext>
              </a:extLst>
            </xdr:cNvPr>
            <xdr:cNvSpPr txBox="1"/>
          </xdr:nvSpPr>
          <xdr:spPr>
            <a:xfrm>
              <a:off x="6706733" y="961007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Iron pellets</a:t>
              </a:r>
            </a:p>
          </xdr:txBody>
        </xdr:sp>
        <xdr:sp macro="" textlink="">
          <xdr:nvSpPr>
            <xdr:cNvPr id="38" name="TextBox 43">
              <a:extLst>
                <a:ext uri="{FF2B5EF4-FFF2-40B4-BE49-F238E27FC236}">
                  <a16:creationId xmlns:a16="http://schemas.microsoft.com/office/drawing/2014/main" id="{6CFE850D-EB9E-4753-83F6-B0309E4A6601}"/>
                </a:ext>
              </a:extLst>
            </xdr:cNvPr>
            <xdr:cNvSpPr txBox="1"/>
          </xdr:nvSpPr>
          <xdr:spPr>
            <a:xfrm>
              <a:off x="4590885" y="941359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Hydrogen</a:t>
              </a:r>
            </a:p>
          </xdr:txBody>
        </xdr:sp>
        <xdr:cxnSp macro="">
          <xdr:nvCxnSpPr>
            <xdr:cNvPr id="39" name="Straight Arrow Connector 38">
              <a:extLst>
                <a:ext uri="{FF2B5EF4-FFF2-40B4-BE49-F238E27FC236}">
                  <a16:creationId xmlns:a16="http://schemas.microsoft.com/office/drawing/2014/main" id="{10708E73-789D-420B-8834-68F253E223C0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" name="Straight Arrow Connector 39">
              <a:extLst>
                <a:ext uri="{FF2B5EF4-FFF2-40B4-BE49-F238E27FC236}">
                  <a16:creationId xmlns:a16="http://schemas.microsoft.com/office/drawing/2014/main" id="{69A0306B-1E48-4E26-980D-B0628C2F0822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1" name="Rectangle: Rounded Corners 40">
              <a:extLst>
                <a:ext uri="{FF2B5EF4-FFF2-40B4-BE49-F238E27FC236}">
                  <a16:creationId xmlns:a16="http://schemas.microsoft.com/office/drawing/2014/main" id="{DEF84C85-4C7A-4C4B-BE2D-2E4330891602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42" name="Straight Connector 41">
              <a:extLst>
                <a:ext uri="{FF2B5EF4-FFF2-40B4-BE49-F238E27FC236}">
                  <a16:creationId xmlns:a16="http://schemas.microsoft.com/office/drawing/2014/main" id="{68F3C08A-D449-4E50-B706-4EC1BA4B9DF7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3" name="TextBox 33">
              <a:extLst>
                <a:ext uri="{FF2B5EF4-FFF2-40B4-BE49-F238E27FC236}">
                  <a16:creationId xmlns:a16="http://schemas.microsoft.com/office/drawing/2014/main" id="{CF504A8A-EB58-4951-B8F7-C44EE9AA24E9}"/>
                </a:ext>
              </a:extLst>
            </xdr:cNvPr>
            <xdr:cNvSpPr txBox="1"/>
          </xdr:nvSpPr>
          <xdr:spPr>
            <a:xfrm>
              <a:off x="7773003" y="975102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DRI</a:t>
              </a:r>
            </a:p>
          </xdr:txBody>
        </xdr:sp>
        <xdr:sp macro="" textlink="">
          <xdr:nvSpPr>
            <xdr:cNvPr id="44" name="Rectangle: Rounded Corners 43">
              <a:extLst>
                <a:ext uri="{FF2B5EF4-FFF2-40B4-BE49-F238E27FC236}">
                  <a16:creationId xmlns:a16="http://schemas.microsoft.com/office/drawing/2014/main" id="{01D93C95-22BA-407F-A1D6-EE7C25D2668B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45" name="Straight Arrow Connector 44">
              <a:extLst>
                <a:ext uri="{FF2B5EF4-FFF2-40B4-BE49-F238E27FC236}">
                  <a16:creationId xmlns:a16="http://schemas.microsoft.com/office/drawing/2014/main" id="{ADB14948-2CB4-40FD-9F02-E543F9A9DE15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6" name="Straight Arrow Connector 45">
              <a:extLst>
                <a:ext uri="{FF2B5EF4-FFF2-40B4-BE49-F238E27FC236}">
                  <a16:creationId xmlns:a16="http://schemas.microsoft.com/office/drawing/2014/main" id="{49778D13-9B6E-476D-9E23-19E2121D7E05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7" name="Rectangle: Rounded Corners 46">
              <a:extLst>
                <a:ext uri="{FF2B5EF4-FFF2-40B4-BE49-F238E27FC236}">
                  <a16:creationId xmlns:a16="http://schemas.microsoft.com/office/drawing/2014/main" id="{4CDF4C19-8578-4098-B781-CFD2D398A496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48" name="Straight Arrow Connector 47">
              <a:extLst>
                <a:ext uri="{FF2B5EF4-FFF2-40B4-BE49-F238E27FC236}">
                  <a16:creationId xmlns:a16="http://schemas.microsoft.com/office/drawing/2014/main" id="{03694C35-8B66-4B94-9240-6B29D3A3DA9F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Arrow Connector 48">
              <a:extLst>
                <a:ext uri="{FF2B5EF4-FFF2-40B4-BE49-F238E27FC236}">
                  <a16:creationId xmlns:a16="http://schemas.microsoft.com/office/drawing/2014/main" id="{DCBE93D9-1357-4752-98D2-CEC579B2DB28}"/>
                </a:ext>
              </a:extLst>
            </xdr:cNvPr>
            <xdr:cNvCxnSpPr>
              <a:cxnSpLocks/>
              <a:endCxn id="50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0" name="Rectangle: Single Corner Snipped 49">
              <a:extLst>
                <a:ext uri="{FF2B5EF4-FFF2-40B4-BE49-F238E27FC236}">
                  <a16:creationId xmlns:a16="http://schemas.microsoft.com/office/drawing/2014/main" id="{3971740A-70ED-4CC4-8B70-C80D6B774E96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51" name="Straight Arrow Connector 50">
              <a:extLst>
                <a:ext uri="{FF2B5EF4-FFF2-40B4-BE49-F238E27FC236}">
                  <a16:creationId xmlns:a16="http://schemas.microsoft.com/office/drawing/2014/main" id="{52D00433-26FD-4C78-99E2-0013CA661C44}"/>
                </a:ext>
              </a:extLst>
            </xdr:cNvPr>
            <xdr:cNvCxnSpPr>
              <a:cxnSpLocks/>
              <a:stCxn id="50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93414045-14D2-4F3F-A540-237B2DA85B85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3" name="TextBox 50">
              <a:extLst>
                <a:ext uri="{FF2B5EF4-FFF2-40B4-BE49-F238E27FC236}">
                  <a16:creationId xmlns:a16="http://schemas.microsoft.com/office/drawing/2014/main" id="{CFB79CC1-5D40-4C01-BB34-F76CA1D974E9}"/>
                </a:ext>
              </a:extLst>
            </xdr:cNvPr>
            <xdr:cNvSpPr txBox="1"/>
          </xdr:nvSpPr>
          <xdr:spPr>
            <a:xfrm>
              <a:off x="10047684" y="837897"/>
              <a:ext cx="1258345" cy="58477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Crude </a:t>
              </a:r>
            </a:p>
            <a:p>
              <a:pPr algn="ctr"/>
              <a:r>
                <a:rPr lang="en-ZA" sz="1600"/>
                <a:t>Steel</a:t>
              </a:r>
            </a:p>
          </xdr:txBody>
        </xdr:sp>
      </xdr:grpSp>
      <xdr:sp macro="" textlink="">
        <xdr:nvSpPr>
          <xdr:cNvPr id="17" name="Arrow: Pentagon 16">
            <a:extLst>
              <a:ext uri="{FF2B5EF4-FFF2-40B4-BE49-F238E27FC236}">
                <a16:creationId xmlns:a16="http://schemas.microsoft.com/office/drawing/2014/main" id="{3A0627E2-1870-4AD8-B584-0895DA1FE495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18" name="Straight Arrow Connector 17">
            <a:extLst>
              <a:ext uri="{FF2B5EF4-FFF2-40B4-BE49-F238E27FC236}">
                <a16:creationId xmlns:a16="http://schemas.microsoft.com/office/drawing/2014/main" id="{8D0607C4-8EFF-4624-BA15-7E1C5440ABA5}"/>
              </a:ext>
            </a:extLst>
          </xdr:cNvPr>
          <xdr:cNvCxnSpPr>
            <a:cxnSpLocks/>
            <a:stCxn id="17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927A8326-A3CE-4B68-A718-EA69F702674D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Arrow Connector 19">
            <a:extLst>
              <a:ext uri="{FF2B5EF4-FFF2-40B4-BE49-F238E27FC236}">
                <a16:creationId xmlns:a16="http://schemas.microsoft.com/office/drawing/2014/main" id="{6AD0EE42-E249-42D4-91D0-70DFF4A84E1A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Arrow Connector 20">
            <a:extLst>
              <a:ext uri="{FF2B5EF4-FFF2-40B4-BE49-F238E27FC236}">
                <a16:creationId xmlns:a16="http://schemas.microsoft.com/office/drawing/2014/main" id="{7D97479F-77C7-46CB-AA7D-B829B2E40C76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204107</xdr:colOff>
      <xdr:row>104</xdr:row>
      <xdr:rowOff>54428</xdr:rowOff>
    </xdr:from>
    <xdr:to>
      <xdr:col>24</xdr:col>
      <xdr:colOff>408213</xdr:colOff>
      <xdr:row>107</xdr:row>
      <xdr:rowOff>163286</xdr:rowOff>
    </xdr:to>
    <xdr:sp macro="" textlink="">
      <xdr:nvSpPr>
        <xdr:cNvPr id="54" name="Arrow: Right 53">
          <a:extLst>
            <a:ext uri="{FF2B5EF4-FFF2-40B4-BE49-F238E27FC236}">
              <a16:creationId xmlns:a16="http://schemas.microsoft.com/office/drawing/2014/main" id="{32C900ED-F558-44D4-8381-68AEEA317E41}"/>
            </a:ext>
          </a:extLst>
        </xdr:cNvPr>
        <xdr:cNvSpPr/>
      </xdr:nvSpPr>
      <xdr:spPr>
        <a:xfrm rot="10800000">
          <a:off x="13947321" y="18696214"/>
          <a:ext cx="1428749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 editAs="oneCell">
    <xdr:from>
      <xdr:col>45</xdr:col>
      <xdr:colOff>190501</xdr:colOff>
      <xdr:row>123</xdr:row>
      <xdr:rowOff>81642</xdr:rowOff>
    </xdr:from>
    <xdr:to>
      <xdr:col>56</xdr:col>
      <xdr:colOff>485776</xdr:colOff>
      <xdr:row>154</xdr:row>
      <xdr:rowOff>152398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39976C7-4825-42EA-B57A-945AAF3B5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02858" y="24071035"/>
          <a:ext cx="7030811" cy="62307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122463</xdr:colOff>
      <xdr:row>127</xdr:row>
      <xdr:rowOff>108857</xdr:rowOff>
    </xdr:from>
    <xdr:to>
      <xdr:col>24</xdr:col>
      <xdr:colOff>326569</xdr:colOff>
      <xdr:row>130</xdr:row>
      <xdr:rowOff>136072</xdr:rowOff>
    </xdr:to>
    <xdr:sp macro="" textlink="">
      <xdr:nvSpPr>
        <xdr:cNvPr id="56" name="Arrow: Right 55">
          <a:extLst>
            <a:ext uri="{FF2B5EF4-FFF2-40B4-BE49-F238E27FC236}">
              <a16:creationId xmlns:a16="http://schemas.microsoft.com/office/drawing/2014/main" id="{8288A36D-16DD-4394-BE39-6C067F4CB1C5}"/>
            </a:ext>
          </a:extLst>
        </xdr:cNvPr>
        <xdr:cNvSpPr/>
      </xdr:nvSpPr>
      <xdr:spPr>
        <a:xfrm rot="10800000">
          <a:off x="15035892" y="25009928"/>
          <a:ext cx="1428748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268941</xdr:colOff>
      <xdr:row>5</xdr:row>
      <xdr:rowOff>123264</xdr:rowOff>
    </xdr:from>
    <xdr:to>
      <xdr:col>32</xdr:col>
      <xdr:colOff>65964</xdr:colOff>
      <xdr:row>34</xdr:row>
      <xdr:rowOff>28966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508131CB-9C5C-4CC7-A8A2-B9B3DE25FCF7}"/>
            </a:ext>
          </a:extLst>
        </xdr:cNvPr>
        <xdr:cNvGrpSpPr/>
      </xdr:nvGrpSpPr>
      <xdr:grpSpPr>
        <a:xfrm>
          <a:off x="11878235" y="1086970"/>
          <a:ext cx="10521053" cy="5475025"/>
          <a:chOff x="785819" y="800952"/>
          <a:chExt cx="10521052" cy="5475025"/>
        </a:xfrm>
      </xdr:grpSpPr>
      <xdr:grpSp>
        <xdr:nvGrpSpPr>
          <xdr:cNvPr id="40" name="Group 39">
            <a:extLst>
              <a:ext uri="{FF2B5EF4-FFF2-40B4-BE49-F238E27FC236}">
                <a16:creationId xmlns:a16="http://schemas.microsoft.com/office/drawing/2014/main" id="{84E6D2F0-C7FA-4D0E-9BF1-53DED1CDAF74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46" name="Rectangle: Single Corner Snipped 45">
              <a:extLst>
                <a:ext uri="{FF2B5EF4-FFF2-40B4-BE49-F238E27FC236}">
                  <a16:creationId xmlns:a16="http://schemas.microsoft.com/office/drawing/2014/main" id="{8497695F-0969-4794-A7D1-238BC151715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47" name="Arrow: Pentagon 46">
              <a:extLst>
                <a:ext uri="{FF2B5EF4-FFF2-40B4-BE49-F238E27FC236}">
                  <a16:creationId xmlns:a16="http://schemas.microsoft.com/office/drawing/2014/main" id="{AC0986BF-A613-4894-B765-DBF3171E90EF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48" name="Rectangle: Rounded Corners 47">
              <a:extLst>
                <a:ext uri="{FF2B5EF4-FFF2-40B4-BE49-F238E27FC236}">
                  <a16:creationId xmlns:a16="http://schemas.microsoft.com/office/drawing/2014/main" id="{EDA6B875-FB18-4A3D-9546-73F7A43C239B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H</a:t>
              </a:r>
              <a:r>
                <a:rPr lang="en-ZA" baseline="-25000">
                  <a:solidFill>
                    <a:schemeClr val="tx1"/>
                  </a:solidFill>
                </a:rPr>
                <a:t>2</a:t>
              </a:r>
              <a:r>
                <a:rPr lang="en-ZA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49" name="Rectangle: Rounded Corners 48">
              <a:extLst>
                <a:ext uri="{FF2B5EF4-FFF2-40B4-BE49-F238E27FC236}">
                  <a16:creationId xmlns:a16="http://schemas.microsoft.com/office/drawing/2014/main" id="{7961DE3A-6246-4E67-82A9-8F7E7A19FE9F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50" name="Connector: Elbow 49">
              <a:extLst>
                <a:ext uri="{FF2B5EF4-FFF2-40B4-BE49-F238E27FC236}">
                  <a16:creationId xmlns:a16="http://schemas.microsoft.com/office/drawing/2014/main" id="{876C8B46-CFB8-452C-87C5-89EF8AE21428}"/>
                </a:ext>
              </a:extLst>
            </xdr:cNvPr>
            <xdr:cNvCxnSpPr>
              <a:cxnSpLocks/>
              <a:stCxn id="47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3A6D5AA8-41B8-4CE0-9172-D87B5FD95A62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Arrow Connector 51">
              <a:extLst>
                <a:ext uri="{FF2B5EF4-FFF2-40B4-BE49-F238E27FC236}">
                  <a16:creationId xmlns:a16="http://schemas.microsoft.com/office/drawing/2014/main" id="{86808BD3-C6E0-4A21-8BFC-E42F5CB32B5F}"/>
                </a:ext>
              </a:extLst>
            </xdr:cNvPr>
            <xdr:cNvCxnSpPr>
              <a:cxnSpLocks/>
              <a:endCxn id="46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Arrow Connector 52">
              <a:extLst>
                <a:ext uri="{FF2B5EF4-FFF2-40B4-BE49-F238E27FC236}">
                  <a16:creationId xmlns:a16="http://schemas.microsoft.com/office/drawing/2014/main" id="{FB12E6A0-202A-4AA5-9CBD-9E2CA865C0B0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Arrow Connector 53">
              <a:extLst>
                <a:ext uri="{FF2B5EF4-FFF2-40B4-BE49-F238E27FC236}">
                  <a16:creationId xmlns:a16="http://schemas.microsoft.com/office/drawing/2014/main" id="{E5F39224-DB49-4AC8-B23B-9D027ED6A231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54">
              <a:extLst>
                <a:ext uri="{FF2B5EF4-FFF2-40B4-BE49-F238E27FC236}">
                  <a16:creationId xmlns:a16="http://schemas.microsoft.com/office/drawing/2014/main" id="{D9D7E1F6-4734-4A52-A9C2-ED5CC7FFAC84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" name="Straight Arrow Connector 55">
              <a:extLst>
                <a:ext uri="{FF2B5EF4-FFF2-40B4-BE49-F238E27FC236}">
                  <a16:creationId xmlns:a16="http://schemas.microsoft.com/office/drawing/2014/main" id="{D6ED4CD8-E546-4855-9695-37F46068303C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" name="Straight Arrow Connector 56">
              <a:extLst>
                <a:ext uri="{FF2B5EF4-FFF2-40B4-BE49-F238E27FC236}">
                  <a16:creationId xmlns:a16="http://schemas.microsoft.com/office/drawing/2014/main" id="{A4EB699E-8671-4673-AADC-D64071767239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8" name="Straight Arrow Connector 57">
              <a:extLst>
                <a:ext uri="{FF2B5EF4-FFF2-40B4-BE49-F238E27FC236}">
                  <a16:creationId xmlns:a16="http://schemas.microsoft.com/office/drawing/2014/main" id="{A1E69989-533C-465B-BCBB-DD0351C7B19F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" name="Straight Arrow Connector 58">
              <a:extLst>
                <a:ext uri="{FF2B5EF4-FFF2-40B4-BE49-F238E27FC236}">
                  <a16:creationId xmlns:a16="http://schemas.microsoft.com/office/drawing/2014/main" id="{228AB807-D29A-46CF-9F46-AFAE9FB3A064}"/>
                </a:ext>
              </a:extLst>
            </xdr:cNvPr>
            <xdr:cNvCxnSpPr>
              <a:cxnSpLocks/>
              <a:stCxn id="61" idx="2"/>
              <a:endCxn id="47" idx="1"/>
            </xdr:cNvCxnSpPr>
          </xdr:nvCxnSpPr>
          <xdr:spPr>
            <a:xfrm>
              <a:off x="7335906" y="1299561"/>
              <a:ext cx="0" cy="251285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0" name="TextBox 41">
              <a:extLst>
                <a:ext uri="{FF2B5EF4-FFF2-40B4-BE49-F238E27FC236}">
                  <a16:creationId xmlns:a16="http://schemas.microsoft.com/office/drawing/2014/main" id="{FE8A228A-D4F7-4D7C-B9D7-1D4A4D432986}"/>
                </a:ext>
              </a:extLst>
            </xdr:cNvPr>
            <xdr:cNvSpPr txBox="1"/>
          </xdr:nvSpPr>
          <xdr:spPr>
            <a:xfrm>
              <a:off x="2425895" y="944993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Electricity</a:t>
              </a:r>
            </a:p>
          </xdr:txBody>
        </xdr:sp>
        <xdr:sp macro="" textlink="">
          <xdr:nvSpPr>
            <xdr:cNvPr id="61" name="TextBox 42">
              <a:extLst>
                <a:ext uri="{FF2B5EF4-FFF2-40B4-BE49-F238E27FC236}">
                  <a16:creationId xmlns:a16="http://schemas.microsoft.com/office/drawing/2014/main" id="{AB6034BB-D6B0-4C8C-8C38-CFDB8393E5E0}"/>
                </a:ext>
              </a:extLst>
            </xdr:cNvPr>
            <xdr:cNvSpPr txBox="1"/>
          </xdr:nvSpPr>
          <xdr:spPr>
            <a:xfrm>
              <a:off x="6706733" y="961007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Iron pellets</a:t>
              </a:r>
            </a:p>
          </xdr:txBody>
        </xdr:sp>
        <xdr:sp macro="" textlink="">
          <xdr:nvSpPr>
            <xdr:cNvPr id="62" name="TextBox 43">
              <a:extLst>
                <a:ext uri="{FF2B5EF4-FFF2-40B4-BE49-F238E27FC236}">
                  <a16:creationId xmlns:a16="http://schemas.microsoft.com/office/drawing/2014/main" id="{B666D453-B768-48DE-ADE2-17818574E9BC}"/>
                </a:ext>
              </a:extLst>
            </xdr:cNvPr>
            <xdr:cNvSpPr txBox="1"/>
          </xdr:nvSpPr>
          <xdr:spPr>
            <a:xfrm>
              <a:off x="4590885" y="941359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Hydrogen</a:t>
              </a:r>
            </a:p>
          </xdr:txBody>
        </xdr:sp>
        <xdr:cxnSp macro="">
          <xdr:nvCxnSpPr>
            <xdr:cNvPr id="63" name="Straight Arrow Connector 62">
              <a:extLst>
                <a:ext uri="{FF2B5EF4-FFF2-40B4-BE49-F238E27FC236}">
                  <a16:creationId xmlns:a16="http://schemas.microsoft.com/office/drawing/2014/main" id="{E5A60549-4F0C-4677-82EF-9A3E67646FAC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4" name="Straight Arrow Connector 63">
              <a:extLst>
                <a:ext uri="{FF2B5EF4-FFF2-40B4-BE49-F238E27FC236}">
                  <a16:creationId xmlns:a16="http://schemas.microsoft.com/office/drawing/2014/main" id="{CE2EC989-F13A-47E1-9BFC-19DAACFE41E9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5" name="Rectangle: Rounded Corners 64">
              <a:extLst>
                <a:ext uri="{FF2B5EF4-FFF2-40B4-BE49-F238E27FC236}">
                  <a16:creationId xmlns:a16="http://schemas.microsoft.com/office/drawing/2014/main" id="{12247CD5-05CA-4B88-B497-AEC65333E9B4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66" name="Straight Connector 65">
              <a:extLst>
                <a:ext uri="{FF2B5EF4-FFF2-40B4-BE49-F238E27FC236}">
                  <a16:creationId xmlns:a16="http://schemas.microsoft.com/office/drawing/2014/main" id="{699428AB-ECD3-4762-9B48-F8BD215AE4C1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7" name="TextBox 33">
              <a:extLst>
                <a:ext uri="{FF2B5EF4-FFF2-40B4-BE49-F238E27FC236}">
                  <a16:creationId xmlns:a16="http://schemas.microsoft.com/office/drawing/2014/main" id="{C7565B38-235A-4697-9A12-F79CE7E9977A}"/>
                </a:ext>
              </a:extLst>
            </xdr:cNvPr>
            <xdr:cNvSpPr txBox="1"/>
          </xdr:nvSpPr>
          <xdr:spPr>
            <a:xfrm>
              <a:off x="7773003" y="975102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DRI</a:t>
              </a:r>
            </a:p>
          </xdr:txBody>
        </xdr:sp>
        <xdr:sp macro="" textlink="">
          <xdr:nvSpPr>
            <xdr:cNvPr id="68" name="Rectangle: Rounded Corners 67">
              <a:extLst>
                <a:ext uri="{FF2B5EF4-FFF2-40B4-BE49-F238E27FC236}">
                  <a16:creationId xmlns:a16="http://schemas.microsoft.com/office/drawing/2014/main" id="{CDC60BC4-B0EC-4BC2-B817-F43DCA46FB20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69" name="Straight Arrow Connector 68">
              <a:extLst>
                <a:ext uri="{FF2B5EF4-FFF2-40B4-BE49-F238E27FC236}">
                  <a16:creationId xmlns:a16="http://schemas.microsoft.com/office/drawing/2014/main" id="{C265D5DB-3D1C-442F-B411-3784C3222C09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0" name="Straight Arrow Connector 69">
              <a:extLst>
                <a:ext uri="{FF2B5EF4-FFF2-40B4-BE49-F238E27FC236}">
                  <a16:creationId xmlns:a16="http://schemas.microsoft.com/office/drawing/2014/main" id="{932DD6C4-EB6F-4C3A-ACE7-14B7F3642DD1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1" name="Rectangle: Rounded Corners 70">
              <a:extLst>
                <a:ext uri="{FF2B5EF4-FFF2-40B4-BE49-F238E27FC236}">
                  <a16:creationId xmlns:a16="http://schemas.microsoft.com/office/drawing/2014/main" id="{FDD2D3CF-259A-4AFD-B936-7A63932C41D9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72" name="Straight Arrow Connector 71">
              <a:extLst>
                <a:ext uri="{FF2B5EF4-FFF2-40B4-BE49-F238E27FC236}">
                  <a16:creationId xmlns:a16="http://schemas.microsoft.com/office/drawing/2014/main" id="{CA6005AC-D1A4-4C98-BFF1-E8D5472A6071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3" name="Straight Arrow Connector 72">
              <a:extLst>
                <a:ext uri="{FF2B5EF4-FFF2-40B4-BE49-F238E27FC236}">
                  <a16:creationId xmlns:a16="http://schemas.microsoft.com/office/drawing/2014/main" id="{D023BE04-5B3A-47D4-833E-F850E19282CD}"/>
                </a:ext>
              </a:extLst>
            </xdr:cNvPr>
            <xdr:cNvCxnSpPr>
              <a:cxnSpLocks/>
              <a:endCxn id="74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4" name="Rectangle: Single Corner Snipped 73">
              <a:extLst>
                <a:ext uri="{FF2B5EF4-FFF2-40B4-BE49-F238E27FC236}">
                  <a16:creationId xmlns:a16="http://schemas.microsoft.com/office/drawing/2014/main" id="{AECB8807-EAFB-4A72-82AE-EB352C6466CB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75" name="Straight Arrow Connector 74">
              <a:extLst>
                <a:ext uri="{FF2B5EF4-FFF2-40B4-BE49-F238E27FC236}">
                  <a16:creationId xmlns:a16="http://schemas.microsoft.com/office/drawing/2014/main" id="{0015D5F5-186F-45B0-9544-2D47DF52BBE0}"/>
                </a:ext>
              </a:extLst>
            </xdr:cNvPr>
            <xdr:cNvCxnSpPr>
              <a:cxnSpLocks/>
              <a:stCxn id="74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6" name="Straight Connector 75">
              <a:extLst>
                <a:ext uri="{FF2B5EF4-FFF2-40B4-BE49-F238E27FC236}">
                  <a16:creationId xmlns:a16="http://schemas.microsoft.com/office/drawing/2014/main" id="{A24F5ED6-04B7-460C-B60B-8AF233B1AC54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7" name="TextBox 50">
              <a:extLst>
                <a:ext uri="{FF2B5EF4-FFF2-40B4-BE49-F238E27FC236}">
                  <a16:creationId xmlns:a16="http://schemas.microsoft.com/office/drawing/2014/main" id="{BCE5E867-F8BE-41C5-8F32-7789E1E6B399}"/>
                </a:ext>
              </a:extLst>
            </xdr:cNvPr>
            <xdr:cNvSpPr txBox="1"/>
          </xdr:nvSpPr>
          <xdr:spPr>
            <a:xfrm>
              <a:off x="10047684" y="837897"/>
              <a:ext cx="1258345" cy="58477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Crude </a:t>
              </a:r>
            </a:p>
            <a:p>
              <a:pPr algn="ctr"/>
              <a:r>
                <a:rPr lang="en-ZA" sz="1600"/>
                <a:t>Steel</a:t>
              </a:r>
            </a:p>
          </xdr:txBody>
        </xdr:sp>
      </xdr:grpSp>
      <xdr:sp macro="" textlink="">
        <xdr:nvSpPr>
          <xdr:cNvPr id="41" name="Arrow: Pentagon 40">
            <a:extLst>
              <a:ext uri="{FF2B5EF4-FFF2-40B4-BE49-F238E27FC236}">
                <a16:creationId xmlns:a16="http://schemas.microsoft.com/office/drawing/2014/main" id="{D5FD1775-ECEE-4615-AEEE-59C6BA711CBC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42" name="Straight Arrow Connector 41">
            <a:extLst>
              <a:ext uri="{FF2B5EF4-FFF2-40B4-BE49-F238E27FC236}">
                <a16:creationId xmlns:a16="http://schemas.microsoft.com/office/drawing/2014/main" id="{A5E510DD-47C7-4D4D-B143-D4295F0B3D44}"/>
              </a:ext>
            </a:extLst>
          </xdr:cNvPr>
          <xdr:cNvCxnSpPr>
            <a:cxnSpLocks/>
            <a:stCxn id="41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Arrow Connector 42">
            <a:extLst>
              <a:ext uri="{FF2B5EF4-FFF2-40B4-BE49-F238E27FC236}">
                <a16:creationId xmlns:a16="http://schemas.microsoft.com/office/drawing/2014/main" id="{696F965D-28F0-4E66-BD07-67C6FBE122F8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Straight Arrow Connector 43">
            <a:extLst>
              <a:ext uri="{FF2B5EF4-FFF2-40B4-BE49-F238E27FC236}">
                <a16:creationId xmlns:a16="http://schemas.microsoft.com/office/drawing/2014/main" id="{A861A10B-993E-45F8-8E8A-F5C0E3F2E68B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Arrow Connector 44">
            <a:extLst>
              <a:ext uri="{FF2B5EF4-FFF2-40B4-BE49-F238E27FC236}">
                <a16:creationId xmlns:a16="http://schemas.microsoft.com/office/drawing/2014/main" id="{F9187A98-B355-493A-AA6C-A4D9BBC9CB4F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311828</xdr:colOff>
      <xdr:row>4</xdr:row>
      <xdr:rowOff>28687</xdr:rowOff>
    </xdr:from>
    <xdr:to>
      <xdr:col>35</xdr:col>
      <xdr:colOff>38101</xdr:colOff>
      <xdr:row>34</xdr:row>
      <xdr:rowOff>64972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BBB86E8-6AFA-49E1-BB8E-A5080A8A0C86}"/>
            </a:ext>
          </a:extLst>
        </xdr:cNvPr>
        <xdr:cNvGrpSpPr/>
      </xdr:nvGrpSpPr>
      <xdr:grpSpPr>
        <a:xfrm>
          <a:off x="10903628" y="800212"/>
          <a:ext cx="11346773" cy="5798910"/>
          <a:chOff x="1432692" y="862432"/>
          <a:chExt cx="10492202" cy="5564126"/>
        </a:xfrm>
      </xdr:grpSpPr>
      <xdr:grpSp>
        <xdr:nvGrpSpPr>
          <xdr:cNvPr id="3" name="Group 2">
            <a:extLst>
              <a:ext uri="{FF2B5EF4-FFF2-40B4-BE49-F238E27FC236}">
                <a16:creationId xmlns:a16="http://schemas.microsoft.com/office/drawing/2014/main" id="{FA832CEB-2F5E-4843-88CE-9627418D0C37}"/>
              </a:ext>
            </a:extLst>
          </xdr:cNvPr>
          <xdr:cNvGrpSpPr/>
        </xdr:nvGrpSpPr>
        <xdr:grpSpPr>
          <a:xfrm>
            <a:off x="1432692" y="862432"/>
            <a:ext cx="10492202" cy="5564126"/>
            <a:chOff x="1432692" y="862432"/>
            <a:chExt cx="10492202" cy="5564126"/>
          </a:xfrm>
        </xdr:grpSpPr>
        <xdr:grpSp>
          <xdr:nvGrpSpPr>
            <xdr:cNvPr id="6" name="Group 5">
              <a:extLst>
                <a:ext uri="{FF2B5EF4-FFF2-40B4-BE49-F238E27FC236}">
                  <a16:creationId xmlns:a16="http://schemas.microsoft.com/office/drawing/2014/main" id="{6275AA18-D3E4-41E7-939A-35E637EE9F63}"/>
                </a:ext>
              </a:extLst>
            </xdr:cNvPr>
            <xdr:cNvGrpSpPr/>
          </xdr:nvGrpSpPr>
          <xdr:grpSpPr>
            <a:xfrm>
              <a:off x="1432692" y="862432"/>
              <a:ext cx="10492202" cy="5564126"/>
              <a:chOff x="899256" y="360156"/>
              <a:chExt cx="10492202" cy="5564126"/>
            </a:xfrm>
          </xdr:grpSpPr>
          <xdr:grpSp>
            <xdr:nvGrpSpPr>
              <xdr:cNvPr id="8" name="Group 7">
                <a:extLst>
                  <a:ext uri="{FF2B5EF4-FFF2-40B4-BE49-F238E27FC236}">
                    <a16:creationId xmlns:a16="http://schemas.microsoft.com/office/drawing/2014/main" id="{A3E7A3B0-5F65-4295-A728-61FD15ADD7CF}"/>
                  </a:ext>
                </a:extLst>
              </xdr:cNvPr>
              <xdr:cNvGrpSpPr/>
            </xdr:nvGrpSpPr>
            <xdr:grpSpPr>
              <a:xfrm>
                <a:off x="899256" y="360156"/>
                <a:ext cx="10492202" cy="5564126"/>
                <a:chOff x="899256" y="360156"/>
                <a:chExt cx="10492202" cy="5564126"/>
              </a:xfrm>
            </xdr:grpSpPr>
            <xdr:cxnSp macro="">
              <xdr:nvCxnSpPr>
                <xdr:cNvPr id="10" name="Straight Connector 9">
                  <a:extLst>
                    <a:ext uri="{FF2B5EF4-FFF2-40B4-BE49-F238E27FC236}">
                      <a16:creationId xmlns:a16="http://schemas.microsoft.com/office/drawing/2014/main" id="{460D4770-93D5-4B81-8763-41E4606A15F3}"/>
                    </a:ext>
                  </a:extLst>
                </xdr:cNvPr>
                <xdr:cNvCxnSpPr/>
              </xdr:nvCxnSpPr>
              <xdr:spPr>
                <a:xfrm flipH="1">
                  <a:off x="1304536" y="1506827"/>
                  <a:ext cx="21991" cy="3308944"/>
                </a:xfrm>
                <a:prstGeom prst="line">
                  <a:avLst/>
                </a:prstGeom>
                <a:ln w="222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1" name="Straight Connector 10">
                  <a:extLst>
                    <a:ext uri="{FF2B5EF4-FFF2-40B4-BE49-F238E27FC236}">
                      <a16:creationId xmlns:a16="http://schemas.microsoft.com/office/drawing/2014/main" id="{BD391B9F-1CA6-43FC-9D47-63F569439219}"/>
                    </a:ext>
                  </a:extLst>
                </xdr:cNvPr>
                <xdr:cNvCxnSpPr/>
              </xdr:nvCxnSpPr>
              <xdr:spPr>
                <a:xfrm>
                  <a:off x="4119929" y="1523417"/>
                  <a:ext cx="17139" cy="4400865"/>
                </a:xfrm>
                <a:prstGeom prst="line">
                  <a:avLst/>
                </a:prstGeom>
                <a:ln w="222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2" name="Straight Connector 11">
                  <a:extLst>
                    <a:ext uri="{FF2B5EF4-FFF2-40B4-BE49-F238E27FC236}">
                      <a16:creationId xmlns:a16="http://schemas.microsoft.com/office/drawing/2014/main" id="{52AD40AD-6D89-4CE0-9F87-A60259AF00A9}"/>
                    </a:ext>
                  </a:extLst>
                </xdr:cNvPr>
                <xdr:cNvCxnSpPr/>
              </xdr:nvCxnSpPr>
              <xdr:spPr>
                <a:xfrm flipH="1">
                  <a:off x="4507917" y="1523417"/>
                  <a:ext cx="9112" cy="3190251"/>
                </a:xfrm>
                <a:prstGeom prst="line">
                  <a:avLst/>
                </a:prstGeom>
                <a:ln w="222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3" name="Straight Connector 12">
                  <a:extLst>
                    <a:ext uri="{FF2B5EF4-FFF2-40B4-BE49-F238E27FC236}">
                      <a16:creationId xmlns:a16="http://schemas.microsoft.com/office/drawing/2014/main" id="{4E04A3DF-9D46-4170-88AD-9F65B16889F4}"/>
                    </a:ext>
                  </a:extLst>
                </xdr:cNvPr>
                <xdr:cNvCxnSpPr/>
              </xdr:nvCxnSpPr>
              <xdr:spPr>
                <a:xfrm>
                  <a:off x="6650753" y="1560731"/>
                  <a:ext cx="15858" cy="3905974"/>
                </a:xfrm>
                <a:prstGeom prst="line">
                  <a:avLst/>
                </a:prstGeom>
                <a:ln w="222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4" name="Straight Connector 13">
                  <a:extLst>
                    <a:ext uri="{FF2B5EF4-FFF2-40B4-BE49-F238E27FC236}">
                      <a16:creationId xmlns:a16="http://schemas.microsoft.com/office/drawing/2014/main" id="{BAEE0CB5-84CB-4552-BEC9-E0722C7DA34C}"/>
                    </a:ext>
                  </a:extLst>
                </xdr:cNvPr>
                <xdr:cNvCxnSpPr/>
              </xdr:nvCxnSpPr>
              <xdr:spPr>
                <a:xfrm flipH="1">
                  <a:off x="9130079" y="1523415"/>
                  <a:ext cx="12879" cy="2704564"/>
                </a:xfrm>
                <a:prstGeom prst="line">
                  <a:avLst/>
                </a:prstGeom>
                <a:ln w="222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5" name="TextBox 14">
                  <a:extLst>
                    <a:ext uri="{FF2B5EF4-FFF2-40B4-BE49-F238E27FC236}">
                      <a16:creationId xmlns:a16="http://schemas.microsoft.com/office/drawing/2014/main" id="{3052E8CF-11F5-44BB-BC1B-12A9723D904B}"/>
                    </a:ext>
                  </a:extLst>
                </xdr:cNvPr>
                <xdr:cNvSpPr txBox="1"/>
              </xdr:nvSpPr>
              <xdr:spPr>
                <a:xfrm>
                  <a:off x="899256" y="1085969"/>
                  <a:ext cx="1271252" cy="369332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ZA"/>
                    <a:t>Electricity</a:t>
                  </a:r>
                </a:p>
              </xdr:txBody>
            </xdr:sp>
            <xdr:sp macro="" textlink="">
              <xdr:nvSpPr>
                <xdr:cNvPr id="16" name="TextBox 15">
                  <a:extLst>
                    <a:ext uri="{FF2B5EF4-FFF2-40B4-BE49-F238E27FC236}">
                      <a16:creationId xmlns:a16="http://schemas.microsoft.com/office/drawing/2014/main" id="{7A5A896E-99E0-4308-97BD-301BB9F23C96}"/>
                    </a:ext>
                  </a:extLst>
                </xdr:cNvPr>
                <xdr:cNvSpPr txBox="1"/>
              </xdr:nvSpPr>
              <xdr:spPr>
                <a:xfrm rot="18744447">
                  <a:off x="3812470" y="811116"/>
                  <a:ext cx="1271252" cy="369332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ZA"/>
                    <a:t>Oxygen</a:t>
                  </a:r>
                </a:p>
              </xdr:txBody>
            </xdr:sp>
            <xdr:sp macro="" textlink="">
              <xdr:nvSpPr>
                <xdr:cNvPr id="17" name="TextBox 16">
                  <a:extLst>
                    <a:ext uri="{FF2B5EF4-FFF2-40B4-BE49-F238E27FC236}">
                      <a16:creationId xmlns:a16="http://schemas.microsoft.com/office/drawing/2014/main" id="{F13CCD60-29A6-488A-ABD0-D0EB294CD650}"/>
                    </a:ext>
                  </a:extLst>
                </xdr:cNvPr>
                <xdr:cNvSpPr txBox="1"/>
              </xdr:nvSpPr>
              <xdr:spPr>
                <a:xfrm rot="18727713">
                  <a:off x="4221359" y="812235"/>
                  <a:ext cx="1271252" cy="369332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ZA"/>
                    <a:t>Hydrogen</a:t>
                  </a:r>
                </a:p>
              </xdr:txBody>
            </xdr:sp>
            <xdr:sp macro="" textlink="">
              <xdr:nvSpPr>
                <xdr:cNvPr id="18" name="TextBox 17">
                  <a:extLst>
                    <a:ext uri="{FF2B5EF4-FFF2-40B4-BE49-F238E27FC236}">
                      <a16:creationId xmlns:a16="http://schemas.microsoft.com/office/drawing/2014/main" id="{07374332-2256-4FAB-BAA5-EC439379B489}"/>
                    </a:ext>
                  </a:extLst>
                </xdr:cNvPr>
                <xdr:cNvSpPr txBox="1"/>
              </xdr:nvSpPr>
              <xdr:spPr>
                <a:xfrm>
                  <a:off x="8524319" y="1093602"/>
                  <a:ext cx="1271252" cy="369332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ZA"/>
                    <a:t>Green Steel</a:t>
                  </a:r>
                </a:p>
              </xdr:txBody>
            </xdr:sp>
            <xdr:sp macro="" textlink="">
              <xdr:nvSpPr>
                <xdr:cNvPr id="19" name="Rectangle 18">
                  <a:extLst>
                    <a:ext uri="{FF2B5EF4-FFF2-40B4-BE49-F238E27FC236}">
                      <a16:creationId xmlns:a16="http://schemas.microsoft.com/office/drawing/2014/main" id="{0A7B78B0-4404-458B-BD5F-1C0E0105E766}"/>
                    </a:ext>
                  </a:extLst>
                </xdr:cNvPr>
                <xdr:cNvSpPr/>
              </xdr:nvSpPr>
              <xdr:spPr>
                <a:xfrm>
                  <a:off x="2067476" y="1817058"/>
                  <a:ext cx="1298620" cy="759853"/>
                </a:xfrm>
                <a:prstGeom prst="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/>
                <a:p>
                  <a:pPr algn="ctr"/>
                  <a:r>
                    <a:rPr lang="en-US" sz="1600"/>
                    <a:t>Electrolyser</a:t>
                  </a:r>
                  <a:endParaRPr lang="en-US"/>
                </a:p>
              </xdr:txBody>
            </xdr:sp>
            <xdr:sp macro="" textlink="">
              <xdr:nvSpPr>
                <xdr:cNvPr id="20" name="Rectangle 19">
                  <a:extLst>
                    <a:ext uri="{FF2B5EF4-FFF2-40B4-BE49-F238E27FC236}">
                      <a16:creationId xmlns:a16="http://schemas.microsoft.com/office/drawing/2014/main" id="{151CE537-CE43-446C-9BA8-9E02D981E4D6}"/>
                    </a:ext>
                  </a:extLst>
                </xdr:cNvPr>
                <xdr:cNvSpPr/>
              </xdr:nvSpPr>
              <xdr:spPr>
                <a:xfrm>
                  <a:off x="5126372" y="3336034"/>
                  <a:ext cx="1027079" cy="695459"/>
                </a:xfrm>
                <a:prstGeom prst="rect">
                  <a:avLst/>
                </a:prstGeom>
                <a:solidFill>
                  <a:schemeClr val="accent6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H2 Storage</a:t>
                  </a:r>
                </a:p>
              </xdr:txBody>
            </xdr:sp>
            <xdr:sp macro="" textlink="">
              <xdr:nvSpPr>
                <xdr:cNvPr id="21" name="Rectangle 20">
                  <a:extLst>
                    <a:ext uri="{FF2B5EF4-FFF2-40B4-BE49-F238E27FC236}">
                      <a16:creationId xmlns:a16="http://schemas.microsoft.com/office/drawing/2014/main" id="{15F4124B-57D5-4A02-A9C8-26EDB44981E8}"/>
                    </a:ext>
                  </a:extLst>
                </xdr:cNvPr>
                <xdr:cNvSpPr/>
              </xdr:nvSpPr>
              <xdr:spPr>
                <a:xfrm>
                  <a:off x="5020558" y="1824302"/>
                  <a:ext cx="1027079" cy="695459"/>
                </a:xfrm>
                <a:prstGeom prst="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Midrex Furnace</a:t>
                  </a:r>
                </a:p>
              </xdr:txBody>
            </xdr:sp>
            <xdr:sp macro="" textlink="">
              <xdr:nvSpPr>
                <xdr:cNvPr id="22" name="Rectangle 21">
                  <a:extLst>
                    <a:ext uri="{FF2B5EF4-FFF2-40B4-BE49-F238E27FC236}">
                      <a16:creationId xmlns:a16="http://schemas.microsoft.com/office/drawing/2014/main" id="{AE748438-245C-407D-9E3C-07C7209301FA}"/>
                    </a:ext>
                  </a:extLst>
                </xdr:cNvPr>
                <xdr:cNvSpPr/>
              </xdr:nvSpPr>
              <xdr:spPr>
                <a:xfrm>
                  <a:off x="7261311" y="3435529"/>
                  <a:ext cx="1027079" cy="695459"/>
                </a:xfrm>
                <a:prstGeom prst="rect">
                  <a:avLst/>
                </a:prstGeom>
                <a:solidFill>
                  <a:schemeClr val="accent2">
                    <a:lumMod val="75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Iron Storage</a:t>
                  </a:r>
                </a:p>
              </xdr:txBody>
            </xdr:sp>
            <xdr:sp macro="" textlink="">
              <xdr:nvSpPr>
                <xdr:cNvPr id="23" name="Rectangle 22">
                  <a:extLst>
                    <a:ext uri="{FF2B5EF4-FFF2-40B4-BE49-F238E27FC236}">
                      <a16:creationId xmlns:a16="http://schemas.microsoft.com/office/drawing/2014/main" id="{5588370F-27EF-4932-839A-855A858582E5}"/>
                    </a:ext>
                  </a:extLst>
                </xdr:cNvPr>
                <xdr:cNvSpPr/>
              </xdr:nvSpPr>
              <xdr:spPr>
                <a:xfrm>
                  <a:off x="7248431" y="2479182"/>
                  <a:ext cx="1027079" cy="695459"/>
                </a:xfrm>
                <a:prstGeom prst="rect">
                  <a:avLst/>
                </a:prstGeom>
                <a:solidFill>
                  <a:schemeClr val="accent1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EAF</a:t>
                  </a:r>
                </a:p>
              </xdr:txBody>
            </xdr:sp>
            <xdr:sp macro="" textlink="">
              <xdr:nvSpPr>
                <xdr:cNvPr id="24" name="Rounded Rectangle 45">
                  <a:extLst>
                    <a:ext uri="{FF2B5EF4-FFF2-40B4-BE49-F238E27FC236}">
                      <a16:creationId xmlns:a16="http://schemas.microsoft.com/office/drawing/2014/main" id="{254E1EFE-0B31-4AED-B326-89FC72C76333}"/>
                    </a:ext>
                  </a:extLst>
                </xdr:cNvPr>
                <xdr:cNvSpPr/>
              </xdr:nvSpPr>
              <xdr:spPr>
                <a:xfrm>
                  <a:off x="9840742" y="4416349"/>
                  <a:ext cx="1550716" cy="598867"/>
                </a:xfrm>
                <a:prstGeom prst="round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To Export Market @ $/t</a:t>
                  </a:r>
                </a:p>
              </xdr:txBody>
            </xdr:sp>
            <xdr:sp macro="" textlink="">
              <xdr:nvSpPr>
                <xdr:cNvPr id="25" name="Rounded Rectangle 46">
                  <a:extLst>
                    <a:ext uri="{FF2B5EF4-FFF2-40B4-BE49-F238E27FC236}">
                      <a16:creationId xmlns:a16="http://schemas.microsoft.com/office/drawing/2014/main" id="{9FAD88A9-0BCA-4A81-A2C1-46CE19EF6AFA}"/>
                    </a:ext>
                  </a:extLst>
                </xdr:cNvPr>
                <xdr:cNvSpPr/>
              </xdr:nvSpPr>
              <xdr:spPr>
                <a:xfrm>
                  <a:off x="9795571" y="3158300"/>
                  <a:ext cx="1550716" cy="598867"/>
                </a:xfrm>
                <a:prstGeom prst="round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To local market</a:t>
                  </a:r>
                </a:p>
              </xdr:txBody>
            </xdr:sp>
            <xdr:cxnSp macro="">
              <xdr:nvCxnSpPr>
                <xdr:cNvPr id="26" name="Straight Arrow Connector 25">
                  <a:extLst>
                    <a:ext uri="{FF2B5EF4-FFF2-40B4-BE49-F238E27FC236}">
                      <a16:creationId xmlns:a16="http://schemas.microsoft.com/office/drawing/2014/main" id="{C5F13359-A039-4B4B-9A19-EECE574CB178}"/>
                    </a:ext>
                  </a:extLst>
                </xdr:cNvPr>
                <xdr:cNvCxnSpPr/>
              </xdr:nvCxnSpPr>
              <xdr:spPr>
                <a:xfrm>
                  <a:off x="6650752" y="3897743"/>
                  <a:ext cx="610559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7" name="Straight Arrow Connector 26">
                  <a:extLst>
                    <a:ext uri="{FF2B5EF4-FFF2-40B4-BE49-F238E27FC236}">
                      <a16:creationId xmlns:a16="http://schemas.microsoft.com/office/drawing/2014/main" id="{AD49C690-9FF3-4C9F-A4F5-11680732502D}"/>
                    </a:ext>
                  </a:extLst>
                </xdr:cNvPr>
                <xdr:cNvCxnSpPr/>
              </xdr:nvCxnSpPr>
              <xdr:spPr>
                <a:xfrm flipH="1" flipV="1">
                  <a:off x="6650751" y="3615965"/>
                  <a:ext cx="597680" cy="5237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8" name="Straight Arrow Connector 27">
                  <a:extLst>
                    <a:ext uri="{FF2B5EF4-FFF2-40B4-BE49-F238E27FC236}">
                      <a16:creationId xmlns:a16="http://schemas.microsoft.com/office/drawing/2014/main" id="{1A35A85B-7FA1-4752-985E-45CC00A7E776}"/>
                    </a:ext>
                  </a:extLst>
                </xdr:cNvPr>
                <xdr:cNvCxnSpPr/>
              </xdr:nvCxnSpPr>
              <xdr:spPr>
                <a:xfrm>
                  <a:off x="6637872" y="2587711"/>
                  <a:ext cx="610559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9" name="Straight Arrow Connector 28">
                  <a:extLst>
                    <a:ext uri="{FF2B5EF4-FFF2-40B4-BE49-F238E27FC236}">
                      <a16:creationId xmlns:a16="http://schemas.microsoft.com/office/drawing/2014/main" id="{093583A1-7E44-4741-B3F8-33E0C6AC1C84}"/>
                    </a:ext>
                  </a:extLst>
                </xdr:cNvPr>
                <xdr:cNvCxnSpPr/>
              </xdr:nvCxnSpPr>
              <xdr:spPr>
                <a:xfrm>
                  <a:off x="1313645" y="2913013"/>
                  <a:ext cx="5925676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0" name="Straight Arrow Connector 29">
                  <a:extLst>
                    <a:ext uri="{FF2B5EF4-FFF2-40B4-BE49-F238E27FC236}">
                      <a16:creationId xmlns:a16="http://schemas.microsoft.com/office/drawing/2014/main" id="{916D2B0E-3C11-4A94-A9AE-81142D80C020}"/>
                    </a:ext>
                  </a:extLst>
                </xdr:cNvPr>
                <xdr:cNvCxnSpPr/>
              </xdr:nvCxnSpPr>
              <xdr:spPr>
                <a:xfrm>
                  <a:off x="1341879" y="2169090"/>
                  <a:ext cx="715943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1" name="Straight Arrow Connector 30">
                  <a:extLst>
                    <a:ext uri="{FF2B5EF4-FFF2-40B4-BE49-F238E27FC236}">
                      <a16:creationId xmlns:a16="http://schemas.microsoft.com/office/drawing/2014/main" id="{19C738A8-AD4A-4822-BB53-D6880A9F5195}"/>
                    </a:ext>
                  </a:extLst>
                </xdr:cNvPr>
                <xdr:cNvCxnSpPr/>
              </xdr:nvCxnSpPr>
              <xdr:spPr>
                <a:xfrm>
                  <a:off x="3385404" y="1988996"/>
                  <a:ext cx="715943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2" name="Straight Arrow Connector 31">
                  <a:extLst>
                    <a:ext uri="{FF2B5EF4-FFF2-40B4-BE49-F238E27FC236}">
                      <a16:creationId xmlns:a16="http://schemas.microsoft.com/office/drawing/2014/main" id="{3069C244-6802-4F81-B282-04889CB58626}"/>
                    </a:ext>
                  </a:extLst>
                </xdr:cNvPr>
                <xdr:cNvCxnSpPr/>
              </xdr:nvCxnSpPr>
              <xdr:spPr>
                <a:xfrm flipV="1">
                  <a:off x="3366096" y="2352399"/>
                  <a:ext cx="1138052" cy="10801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3" name="Straight Arrow Connector 32">
                  <a:extLst>
                    <a:ext uri="{FF2B5EF4-FFF2-40B4-BE49-F238E27FC236}">
                      <a16:creationId xmlns:a16="http://schemas.microsoft.com/office/drawing/2014/main" id="{6576E987-0F97-4F89-9636-C9AC02186E76}"/>
                    </a:ext>
                  </a:extLst>
                </xdr:cNvPr>
                <xdr:cNvCxnSpPr/>
              </xdr:nvCxnSpPr>
              <xdr:spPr>
                <a:xfrm>
                  <a:off x="4511865" y="3580816"/>
                  <a:ext cx="610559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4" name="Straight Arrow Connector 33">
                  <a:extLst>
                    <a:ext uri="{FF2B5EF4-FFF2-40B4-BE49-F238E27FC236}">
                      <a16:creationId xmlns:a16="http://schemas.microsoft.com/office/drawing/2014/main" id="{EA28D935-9EB4-43BB-AD0E-861DAC0A2EA8}"/>
                    </a:ext>
                  </a:extLst>
                </xdr:cNvPr>
                <xdr:cNvCxnSpPr/>
              </xdr:nvCxnSpPr>
              <xdr:spPr>
                <a:xfrm>
                  <a:off x="4526681" y="2178615"/>
                  <a:ext cx="513185" cy="881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5" name="Straight Arrow Connector 34">
                  <a:extLst>
                    <a:ext uri="{FF2B5EF4-FFF2-40B4-BE49-F238E27FC236}">
                      <a16:creationId xmlns:a16="http://schemas.microsoft.com/office/drawing/2014/main" id="{EAE1F27F-6F3B-4168-8B16-A1C287F51E08}"/>
                    </a:ext>
                  </a:extLst>
                </xdr:cNvPr>
                <xdr:cNvCxnSpPr/>
              </xdr:nvCxnSpPr>
              <xdr:spPr>
                <a:xfrm flipH="1" flipV="1">
                  <a:off x="4500636" y="3772458"/>
                  <a:ext cx="597680" cy="5237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6" name="Straight Arrow Connector 35">
                  <a:extLst>
                    <a:ext uri="{FF2B5EF4-FFF2-40B4-BE49-F238E27FC236}">
                      <a16:creationId xmlns:a16="http://schemas.microsoft.com/office/drawing/2014/main" id="{40EA3C68-8BC7-4C26-BA0F-6B212C267D80}"/>
                    </a:ext>
                  </a:extLst>
                </xdr:cNvPr>
                <xdr:cNvCxnSpPr/>
              </xdr:nvCxnSpPr>
              <xdr:spPr>
                <a:xfrm>
                  <a:off x="8285164" y="2749636"/>
                  <a:ext cx="854568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7" name="Straight Arrow Connector 36">
                  <a:extLst>
                    <a:ext uri="{FF2B5EF4-FFF2-40B4-BE49-F238E27FC236}">
                      <a16:creationId xmlns:a16="http://schemas.microsoft.com/office/drawing/2014/main" id="{F288AE3F-D9EB-422A-A1F2-1CF257D3A20C}"/>
                    </a:ext>
                  </a:extLst>
                </xdr:cNvPr>
                <xdr:cNvCxnSpPr/>
              </xdr:nvCxnSpPr>
              <xdr:spPr>
                <a:xfrm flipV="1">
                  <a:off x="6655319" y="4726907"/>
                  <a:ext cx="3185422" cy="5684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8" name="Straight Arrow Connector 37">
                  <a:extLst>
                    <a:ext uri="{FF2B5EF4-FFF2-40B4-BE49-F238E27FC236}">
                      <a16:creationId xmlns:a16="http://schemas.microsoft.com/office/drawing/2014/main" id="{9D79701B-2947-4CAC-B48B-AE6DF9628F5D}"/>
                    </a:ext>
                  </a:extLst>
                </xdr:cNvPr>
                <xdr:cNvCxnSpPr/>
              </xdr:nvCxnSpPr>
              <xdr:spPr>
                <a:xfrm>
                  <a:off x="9142957" y="3503295"/>
                  <a:ext cx="652614" cy="1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9" name="TextBox 8">
                <a:extLst>
                  <a:ext uri="{FF2B5EF4-FFF2-40B4-BE49-F238E27FC236}">
                    <a16:creationId xmlns:a16="http://schemas.microsoft.com/office/drawing/2014/main" id="{69AEB41B-008C-46D5-974D-185FD9897D9D}"/>
                  </a:ext>
                </a:extLst>
              </xdr:cNvPr>
              <xdr:cNvSpPr txBox="1"/>
            </xdr:nvSpPr>
            <xdr:spPr>
              <a:xfrm>
                <a:off x="6298416" y="1096627"/>
                <a:ext cx="1271252" cy="369332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ZA"/>
                  <a:t>Iron</a:t>
                </a:r>
              </a:p>
            </xdr:txBody>
          </xdr:sp>
        </xdr:grpSp>
        <xdr:cxnSp macro="">
          <xdr:nvCxnSpPr>
            <xdr:cNvPr id="7" name="Straight Arrow Connector 6">
              <a:extLst>
                <a:ext uri="{FF2B5EF4-FFF2-40B4-BE49-F238E27FC236}">
                  <a16:creationId xmlns:a16="http://schemas.microsoft.com/office/drawing/2014/main" id="{AEC74978-5EEF-4BD1-9E6A-D9A4DCE0C2AC}"/>
                </a:ext>
              </a:extLst>
            </xdr:cNvPr>
            <xdr:cNvCxnSpPr/>
          </xdr:nvCxnSpPr>
          <xdr:spPr>
            <a:xfrm>
              <a:off x="6571419" y="2646406"/>
              <a:ext cx="610559" cy="0"/>
            </a:xfrm>
            <a:prstGeom prst="straightConnector1">
              <a:avLst/>
            </a:prstGeom>
            <a:ln w="38100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4" name="Straight Arrow Connector 3">
            <a:extLst>
              <a:ext uri="{FF2B5EF4-FFF2-40B4-BE49-F238E27FC236}">
                <a16:creationId xmlns:a16="http://schemas.microsoft.com/office/drawing/2014/main" id="{E5A7CC64-2D0E-4D1D-929A-609712C33747}"/>
              </a:ext>
            </a:extLst>
          </xdr:cNvPr>
          <xdr:cNvCxnSpPr/>
        </xdr:nvCxnSpPr>
        <xdr:spPr>
          <a:xfrm>
            <a:off x="8042976" y="2525677"/>
            <a:ext cx="0" cy="439891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TextBox 66">
            <a:extLst>
              <a:ext uri="{FF2B5EF4-FFF2-40B4-BE49-F238E27FC236}">
                <a16:creationId xmlns:a16="http://schemas.microsoft.com/office/drawing/2014/main" id="{ACDCBB9E-70ED-413F-A422-8662759D1C0C}"/>
              </a:ext>
            </a:extLst>
          </xdr:cNvPr>
          <xdr:cNvSpPr txBox="1"/>
        </xdr:nvSpPr>
        <xdr:spPr>
          <a:xfrm rot="17960789">
            <a:off x="7618722" y="1801742"/>
            <a:ext cx="1271252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ZA"/>
              <a:t>Carbon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17</xdr:row>
      <xdr:rowOff>9525</xdr:rowOff>
    </xdr:from>
    <xdr:to>
      <xdr:col>11</xdr:col>
      <xdr:colOff>638175</xdr:colOff>
      <xdr:row>21</xdr:row>
      <xdr:rowOff>142875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68A8BAFF-3349-4A81-B4F2-4F32E6440781}"/>
            </a:ext>
          </a:extLst>
        </xdr:cNvPr>
        <xdr:cNvCxnSpPr/>
      </xdr:nvCxnSpPr>
      <xdr:spPr>
        <a:xfrm>
          <a:off x="5505450" y="2762250"/>
          <a:ext cx="2676525" cy="7810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371476</xdr:colOff>
      <xdr:row>28</xdr:row>
      <xdr:rowOff>142875</xdr:rowOff>
    </xdr:from>
    <xdr:to>
      <xdr:col>22</xdr:col>
      <xdr:colOff>285750</xdr:colOff>
      <xdr:row>28</xdr:row>
      <xdr:rowOff>142875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AF704933-C1AE-4264-B8C0-9C3C3C6E3641}"/>
            </a:ext>
          </a:extLst>
        </xdr:cNvPr>
        <xdr:cNvCxnSpPr/>
      </xdr:nvCxnSpPr>
      <xdr:spPr>
        <a:xfrm flipH="1">
          <a:off x="12715876" y="4676775"/>
          <a:ext cx="2657474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295291</xdr:colOff>
      <xdr:row>90</xdr:row>
      <xdr:rowOff>105817</xdr:rowOff>
    </xdr:from>
    <xdr:to>
      <xdr:col>14</xdr:col>
      <xdr:colOff>306611</xdr:colOff>
      <xdr:row>109</xdr:row>
      <xdr:rowOff>81925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185142B4-48CC-4025-8A13-03BFEA00F4F4}"/>
            </a:ext>
          </a:extLst>
        </xdr:cNvPr>
        <xdr:cNvSpPr/>
      </xdr:nvSpPr>
      <xdr:spPr>
        <a:xfrm rot="18533538">
          <a:off x="8980647" y="19119161"/>
          <a:ext cx="3614658" cy="6209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ZA" sz="1100"/>
            <a:t>check against calibration </a:t>
          </a:r>
        </a:p>
        <a:p>
          <a:pPr algn="l"/>
          <a:endParaRPr lang="en-ZA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549088</xdr:colOff>
      <xdr:row>59</xdr:row>
      <xdr:rowOff>56029</xdr:rowOff>
    </xdr:from>
    <xdr:to>
      <xdr:col>9</xdr:col>
      <xdr:colOff>291353</xdr:colOff>
      <xdr:row>61</xdr:row>
      <xdr:rowOff>22412</xdr:rowOff>
    </xdr:to>
    <xdr:sp macro="" textlink="">
      <xdr:nvSpPr>
        <xdr:cNvPr id="3" name="Down Arrow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6745941" y="11956676"/>
          <a:ext cx="560294" cy="34738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5</xdr:col>
      <xdr:colOff>140875</xdr:colOff>
      <xdr:row>133</xdr:row>
      <xdr:rowOff>174492</xdr:rowOff>
    </xdr:from>
    <xdr:to>
      <xdr:col>6</xdr:col>
      <xdr:colOff>51227</xdr:colOff>
      <xdr:row>136</xdr:row>
      <xdr:rowOff>96051</xdr:rowOff>
    </xdr:to>
    <xdr:sp macro="" textlink="">
      <xdr:nvSpPr>
        <xdr:cNvPr id="4" name="Down Arrow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018911" y="26191349"/>
          <a:ext cx="590709" cy="49305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16</xdr:col>
      <xdr:colOff>112060</xdr:colOff>
      <xdr:row>146</xdr:row>
      <xdr:rowOff>89647</xdr:rowOff>
    </xdr:from>
    <xdr:to>
      <xdr:col>17</xdr:col>
      <xdr:colOff>112061</xdr:colOff>
      <xdr:row>150</xdr:row>
      <xdr:rowOff>134472</xdr:rowOff>
    </xdr:to>
    <xdr:cxnSp macro="">
      <xdr:nvCxnSpPr>
        <xdr:cNvPr id="6" name="Curved Connector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 rot="16200000" flipV="1">
          <a:off x="12830736" y="28866353"/>
          <a:ext cx="806825" cy="605119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22411</xdr:colOff>
      <xdr:row>162</xdr:row>
      <xdr:rowOff>127075</xdr:rowOff>
    </xdr:from>
    <xdr:to>
      <xdr:col>30</xdr:col>
      <xdr:colOff>517376</xdr:colOff>
      <xdr:row>171</xdr:row>
      <xdr:rowOff>145676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8E581FE-495D-4893-9126-EA69DF0C776E}"/>
            </a:ext>
          </a:extLst>
        </xdr:cNvPr>
        <xdr:cNvSpPr txBox="1"/>
      </xdr:nvSpPr>
      <xdr:spPr>
        <a:xfrm>
          <a:off x="16562293" y="31850928"/>
          <a:ext cx="5335907" cy="13521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My understanding is that AMSA don’t use the EAF's at VNBL park unless the BOF's are down or the market is very good. Many of the IAR's state a total of 3Mt LS capacity at VNBL which would match the BOF output. The 2005 IAR stated that VNBL produced a record 3.8Mt and used the EAF route. </a:t>
          </a:r>
        </a:p>
        <a:p>
          <a:r>
            <a:rPr lang="en-ZA" sz="1100"/>
            <a:t>So my thoughts</a:t>
          </a:r>
          <a:r>
            <a:rPr lang="en-ZA" sz="1100" baseline="0"/>
            <a:t> are that they don't use the EAF's there unless they need to (makes sense given the electricity price).</a:t>
          </a:r>
        </a:p>
        <a:p>
          <a:r>
            <a:rPr lang="en-ZA" sz="1100" baseline="0"/>
            <a:t>According to Guy, they dont run the EAF's because of environmental reasons. </a:t>
          </a:r>
          <a:endParaRPr lang="en-ZA" sz="1100"/>
        </a:p>
      </xdr:txBody>
    </xdr:sp>
    <xdr:clientData/>
  </xdr:twoCellAnchor>
  <xdr:twoCellAnchor>
    <xdr:from>
      <xdr:col>22</xdr:col>
      <xdr:colOff>33619</xdr:colOff>
      <xdr:row>172</xdr:row>
      <xdr:rowOff>22412</xdr:rowOff>
    </xdr:from>
    <xdr:to>
      <xdr:col>30</xdr:col>
      <xdr:colOff>179294</xdr:colOff>
      <xdr:row>175</xdr:row>
      <xdr:rowOff>22412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C97D999-322B-4008-90CF-3C62D43ED690}"/>
            </a:ext>
          </a:extLst>
        </xdr:cNvPr>
        <xdr:cNvSpPr txBox="1"/>
      </xdr:nvSpPr>
      <xdr:spPr>
        <a:xfrm>
          <a:off x="16573501" y="33270265"/>
          <a:ext cx="4986617" cy="571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Vereeniging</a:t>
          </a:r>
          <a:r>
            <a:rPr lang="en-ZA" sz="1100" baseline="0"/>
            <a:t> takes billets from newcastle and rolls them according to IAR 2017. I dont see evidence they are still making crude steel or using the EAFs in the AMSA IAR's. 2016 reported that they closed the EAF.</a:t>
          </a:r>
          <a:endParaRPr lang="en-ZA" sz="1100"/>
        </a:p>
      </xdr:txBody>
    </xdr:sp>
    <xdr:clientData/>
  </xdr:twoCellAnchor>
  <xdr:twoCellAnchor>
    <xdr:from>
      <xdr:col>21</xdr:col>
      <xdr:colOff>515470</xdr:colOff>
      <xdr:row>189</xdr:row>
      <xdr:rowOff>145676</xdr:rowOff>
    </xdr:from>
    <xdr:to>
      <xdr:col>28</xdr:col>
      <xdr:colOff>537883</xdr:colOff>
      <xdr:row>195</xdr:row>
      <xdr:rowOff>22412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2578E78-06D1-4D97-80B2-176C78E0C4BF}"/>
            </a:ext>
          </a:extLst>
        </xdr:cNvPr>
        <xdr:cNvSpPr txBox="1"/>
      </xdr:nvSpPr>
      <xdr:spPr>
        <a:xfrm>
          <a:off x="16450235" y="36822529"/>
          <a:ext cx="4258236" cy="10197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So the</a:t>
          </a:r>
          <a:r>
            <a:rPr lang="en-ZA" sz="1100" baseline="0"/>
            <a:t> iron numbers were added to get the total pig iron right. </a:t>
          </a:r>
        </a:p>
        <a:p>
          <a:r>
            <a:rPr lang="en-ZA" sz="1100" baseline="0"/>
            <a:t>And then seperately added extra EAF steel to get the total all steel corret. They are both pretty much extactly the same number. </a:t>
          </a:r>
        </a:p>
        <a:p>
          <a:r>
            <a:rPr lang="en-ZA" sz="1100" baseline="0"/>
            <a:t>I suspect AMSA selling to the scrap people. </a:t>
          </a:r>
        </a:p>
        <a:p>
          <a:endParaRPr lang="en-ZA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619125</xdr:colOff>
      <xdr:row>86</xdr:row>
      <xdr:rowOff>47625</xdr:rowOff>
    </xdr:from>
    <xdr:to>
      <xdr:col>3</xdr:col>
      <xdr:colOff>228600</xdr:colOff>
      <xdr:row>88</xdr:row>
      <xdr:rowOff>161925</xdr:rowOff>
    </xdr:to>
    <xdr:sp macro="" textlink="">
      <xdr:nvSpPr>
        <xdr:cNvPr id="2" name="Arrow: Down 1">
          <a:extLst>
            <a:ext uri="{FF2B5EF4-FFF2-40B4-BE49-F238E27FC236}">
              <a16:creationId xmlns:a16="http://schemas.microsoft.com/office/drawing/2014/main" id="{E676A137-91EB-4DFB-A54D-906FD9C89235}"/>
            </a:ext>
          </a:extLst>
        </xdr:cNvPr>
        <xdr:cNvSpPr/>
      </xdr:nvSpPr>
      <xdr:spPr>
        <a:xfrm>
          <a:off x="2667000" y="10915650"/>
          <a:ext cx="428625" cy="4953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50</xdr:row>
      <xdr:rowOff>38100</xdr:rowOff>
    </xdr:from>
    <xdr:to>
      <xdr:col>8</xdr:col>
      <xdr:colOff>542925</xdr:colOff>
      <xdr:row>50</xdr:row>
      <xdr:rowOff>180975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7A46EC65-7F66-4A47-AF89-ECE034FFDFC5}"/>
            </a:ext>
          </a:extLst>
        </xdr:cNvPr>
        <xdr:cNvSpPr/>
      </xdr:nvSpPr>
      <xdr:spPr>
        <a:xfrm>
          <a:off x="5762625" y="7086600"/>
          <a:ext cx="609600" cy="1428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160020</xdr:colOff>
      <xdr:row>35</xdr:row>
      <xdr:rowOff>7620</xdr:rowOff>
    </xdr:from>
    <xdr:to>
      <xdr:col>6</xdr:col>
      <xdr:colOff>535305</xdr:colOff>
      <xdr:row>71</xdr:row>
      <xdr:rowOff>148590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F2B1D5-28C5-4E35-BC01-D12BB8ED6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" y="6675120"/>
          <a:ext cx="2813685" cy="69989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38100</xdr:colOff>
      <xdr:row>79</xdr:row>
      <xdr:rowOff>85725</xdr:rowOff>
    </xdr:from>
    <xdr:ext cx="10631261" cy="7696200"/>
    <xdr:pic>
      <xdr:nvPicPr>
        <xdr:cNvPr id="3" name="Picture 2">
          <a:extLst>
            <a:ext uri="{FF2B5EF4-FFF2-40B4-BE49-F238E27FC236}">
              <a16:creationId xmlns:a16="http://schemas.microsoft.com/office/drawing/2014/main" id="{E386BB47-7200-4BAA-9499-69F2A8A98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5135225"/>
          <a:ext cx="10631261" cy="769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133350</xdr:colOff>
      <xdr:row>125</xdr:row>
      <xdr:rowOff>25853</xdr:rowOff>
    </xdr:from>
    <xdr:ext cx="10821761" cy="7781925"/>
    <xdr:pic>
      <xdr:nvPicPr>
        <xdr:cNvPr id="4" name="Picture 3">
          <a:extLst>
            <a:ext uri="{FF2B5EF4-FFF2-40B4-BE49-F238E27FC236}">
              <a16:creationId xmlns:a16="http://schemas.microsoft.com/office/drawing/2014/main" id="{22AF2CDE-65F3-42C4-A6E8-D85742C62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597353"/>
          <a:ext cx="10821761" cy="778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85725</xdr:rowOff>
    </xdr:from>
    <xdr:to>
      <xdr:col>14</xdr:col>
      <xdr:colOff>350520</xdr:colOff>
      <xdr:row>34</xdr:row>
      <xdr:rowOff>125457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6725"/>
          <a:ext cx="9096375" cy="61376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481013</xdr:colOff>
      <xdr:row>34</xdr:row>
      <xdr:rowOff>128588</xdr:rowOff>
    </xdr:from>
    <xdr:to>
      <xdr:col>8</xdr:col>
      <xdr:colOff>271463</xdr:colOff>
      <xdr:row>38</xdr:row>
      <xdr:rowOff>119063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 rot="5400000">
          <a:off x="4572000" y="6781801"/>
          <a:ext cx="752475" cy="4000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266700</xdr:colOff>
      <xdr:row>37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905030-25F8-44D7-9E9B-95CBCC45D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8640"/>
          <a:ext cx="10020300" cy="6233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</xdr:row>
      <xdr:rowOff>0</xdr:rowOff>
    </xdr:from>
    <xdr:to>
      <xdr:col>31</xdr:col>
      <xdr:colOff>249890</xdr:colOff>
      <xdr:row>26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8E4137-3A73-4FF0-A589-B7D2D1EAD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571500"/>
          <a:ext cx="7565090" cy="445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</xdr:colOff>
      <xdr:row>6</xdr:row>
      <xdr:rowOff>65120</xdr:rowOff>
    </xdr:from>
    <xdr:to>
      <xdr:col>24</xdr:col>
      <xdr:colOff>419100</xdr:colOff>
      <xdr:row>33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0" y="1208120"/>
          <a:ext cx="9525000" cy="5078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52834</xdr:colOff>
      <xdr:row>33</xdr:row>
      <xdr:rowOff>171450</xdr:rowOff>
    </xdr:from>
    <xdr:to>
      <xdr:col>24</xdr:col>
      <xdr:colOff>441960</xdr:colOff>
      <xdr:row>94</xdr:row>
      <xdr:rowOff>6131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3534" y="6457950"/>
          <a:ext cx="9529316" cy="114570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SUT/SUT%20200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TCH_IN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/saic_technology/ResCOM/New%20Microsoft%20Excel%20Workshee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IEA_energy%20balance%20dat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44937/Google%20Drive/Guy%20Work/DOE%20Heavy%20Industry/Iron%20and%20Steel%20Data/Iron&amp;steel_keystats11Nov2013_ag_bm_%20GC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ron&amp;steel_keystats08May2014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S/Iron&amp;steel_keystats11Nov2013_ag_bm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SATIM/Industry_Tamaryn/Iron&amp;steel_keystats08May2014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DoE%20Energy%20Footprint%20and%20Savings%20Potential%202017/2017%20Project%20Folder/Resources/Iron%20and%20Steel/UNIDO%20Project/Model_12.2_prsnt%20April2016_%20gc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MARYSE~1/LOCALS~1/Temp/Temporary%20Directory%202%20for%20EFDA_TMPL_nov5.zip/SubRes_Tmpl/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Dropbox/00%20-%20Energy%20Research%20Centre/Research/TIMES/TCH_IND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1P0/SAGE%20TEMPLATES/Eastern%20Europe/EE_RES_V1p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Files%20from%20before%202016/Excel%20model/Model_12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SATIM%20maintenance/Industry%20work/Industry%20update%20to%202012/New%202012%20worksheets/SATIM%20industry%20IS%20update%20work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UK%20Carbon%20Calculator/DECC-2050-calculator-with-costs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IKI-DDP/Industry/HDRI%20calcs%20and%20model%20development%20-%201805202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IKI-DDP/Industry/HDRI%20for%20SATIM%20012020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SATIM%20maintenance/Industry%20work/SATIM%20-%20Industry%20-%20Iron%20and%20Steel%20v3.xlsb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SATIM%20maintenance/Industry%20update%20to%202012/New%202012%20worksheets/SATIM%20industry%20IS%20update%20wor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pply table 2007"/>
      <sheetName val="Use table 2007 "/>
    </sheetNames>
    <sheetDataSet>
      <sheetData sheetId="0"/>
      <sheetData sheetId="1">
        <row r="2">
          <cell r="B2" t="str">
            <v>Use of products</v>
          </cell>
          <cell r="C2" t="str">
            <v>Total supply at purchasers' prices</v>
          </cell>
          <cell r="D2" t="str">
            <v>Taxes less subsidies on products</v>
          </cell>
          <cell r="E2" t="str">
            <v>Agriculture</v>
          </cell>
          <cell r="F2" t="str">
            <v>Forestry</v>
          </cell>
          <cell r="G2" t="str">
            <v>Fishing</v>
          </cell>
          <cell r="H2" t="str">
            <v>Mining of coal and lignite</v>
          </cell>
          <cell r="I2" t="str">
            <v>Mining of gold and uranium ore</v>
          </cell>
          <cell r="J2" t="str">
            <v>Mining of metal ores</v>
          </cell>
          <cell r="K2" t="str">
            <v>Other mining and quarrying</v>
          </cell>
          <cell r="L2" t="str">
            <v>Food</v>
          </cell>
          <cell r="M2" t="str">
            <v>Beverages and tobacco</v>
          </cell>
          <cell r="N2" t="str">
            <v>Spinning, weaving and finishing of textiles</v>
          </cell>
          <cell r="O2" t="str">
            <v>Knitted, crouched fabrics, wearing apparel, fur articles</v>
          </cell>
          <cell r="P2" t="str">
            <v>Tanning and dressing of leather</v>
          </cell>
          <cell r="Q2" t="str">
            <v>Footwear</v>
          </cell>
          <cell r="R2" t="str">
            <v>Sawmilling, planing of wood, cork, straw</v>
          </cell>
          <cell r="S2" t="str">
            <v>Paper</v>
          </cell>
          <cell r="T2" t="str">
            <v>Publishing, printing, recorded media</v>
          </cell>
          <cell r="U2" t="str">
            <v xml:space="preserve"> Coke oven, petroleum refineries</v>
          </cell>
          <cell r="V2" t="str">
            <v>Nuclear fuel, basic chemicals</v>
          </cell>
          <cell r="W2" t="str">
            <v>Other chemical products, man-made fibres</v>
          </cell>
          <cell r="X2" t="str">
            <v>Rubber</v>
          </cell>
          <cell r="Y2" t="str">
            <v>Plastic</v>
          </cell>
          <cell r="Z2" t="str">
            <v>Glass</v>
          </cell>
          <cell r="AA2" t="str">
            <v>Non-metallic minerals</v>
          </cell>
          <cell r="AB2" t="str">
            <v>Basic iron and steel, casting of metals</v>
          </cell>
          <cell r="AC2" t="str">
            <v>Basic precious and non-ferrous metals</v>
          </cell>
          <cell r="AD2" t="str">
            <v>Fabricated metal products</v>
          </cell>
          <cell r="AE2" t="str">
            <v>Machinery and equipment</v>
          </cell>
          <cell r="AF2" t="str">
            <v>Electrical machinery and apparatus</v>
          </cell>
          <cell r="AG2" t="str">
            <v>Radio, television, communication equipment and apparatus</v>
          </cell>
          <cell r="AH2" t="str">
            <v>Medical, precision, optical instruments, watches and clocks</v>
          </cell>
          <cell r="AI2" t="str">
            <v>Motor vehicles, trailers, parts</v>
          </cell>
          <cell r="AJ2" t="str">
            <v>Other transport equipment</v>
          </cell>
          <cell r="AK2" t="str">
            <v>Furniture</v>
          </cell>
          <cell r="AL2" t="str">
            <v>Manufacturing n.e.c, recycling</v>
          </cell>
          <cell r="AM2" t="str">
            <v>Electricity, gas, steam and hot water supply</v>
          </cell>
          <cell r="AN2" t="str">
            <v>Collection, purification and distribution of water</v>
          </cell>
          <cell r="AO2" t="str">
            <v>Construction</v>
          </cell>
          <cell r="AP2" t="str">
            <v>Wholesale trade, commission trade</v>
          </cell>
          <cell r="AQ2" t="str">
            <v>Retail trade</v>
          </cell>
          <cell r="AR2" t="str">
            <v>Sale, maintenance, repair of motor vehicles</v>
          </cell>
          <cell r="AS2" t="str">
            <v>Hotels and restaurants</v>
          </cell>
          <cell r="AT2" t="str">
            <v>Land transport, transport via pipe lines</v>
          </cell>
          <cell r="AU2" t="str">
            <v>Water transport</v>
          </cell>
          <cell r="AV2" t="str">
            <v>Air transport</v>
          </cell>
          <cell r="AW2" t="str">
            <v>Auxiliary transport</v>
          </cell>
          <cell r="AX2" t="str">
            <v>Post and telecommunication</v>
          </cell>
          <cell r="AY2" t="str">
            <v>Financial intermediation</v>
          </cell>
          <cell r="AZ2" t="str">
            <v>Insurance and pension funding</v>
          </cell>
          <cell r="BA2" t="str">
            <v>Activities to financial intermediation</v>
          </cell>
          <cell r="BB2" t="str">
            <v>Real estate activities</v>
          </cell>
          <cell r="BC2" t="str">
            <v>Renting of machinery and equipment</v>
          </cell>
          <cell r="BD2" t="str">
            <v>Computer and related activities</v>
          </cell>
          <cell r="BE2" t="str">
            <v>Research and experimental development</v>
          </cell>
          <cell r="BF2" t="str">
            <v>Other business activities</v>
          </cell>
          <cell r="BG2" t="str">
            <v>Government</v>
          </cell>
          <cell r="BH2" t="str">
            <v>Education</v>
          </cell>
          <cell r="BI2" t="str">
            <v>Health and social work</v>
          </cell>
          <cell r="BJ2" t="str">
            <v>Sewerage and refuse disposal</v>
          </cell>
          <cell r="BK2" t="str">
            <v>Activities of membership organisations</v>
          </cell>
          <cell r="BL2" t="str">
            <v>Recreational, cultural and sporting activities</v>
          </cell>
          <cell r="BM2" t="str">
            <v>Other activities</v>
          </cell>
          <cell r="BN2" t="str">
            <v>Non-observed, informal, non-profit, households,</v>
          </cell>
        </row>
        <row r="3">
          <cell r="E3" t="str">
            <v>I1</v>
          </cell>
          <cell r="F3" t="str">
            <v>I2</v>
          </cell>
          <cell r="G3" t="str">
            <v>I3</v>
          </cell>
          <cell r="H3" t="str">
            <v>I4</v>
          </cell>
          <cell r="I3" t="str">
            <v>I5</v>
          </cell>
          <cell r="J3" t="str">
            <v>I6</v>
          </cell>
          <cell r="K3" t="str">
            <v>I7</v>
          </cell>
          <cell r="L3" t="str">
            <v>I8</v>
          </cell>
          <cell r="M3" t="str">
            <v>I9</v>
          </cell>
          <cell r="N3" t="str">
            <v>I10</v>
          </cell>
          <cell r="O3" t="str">
            <v>I11</v>
          </cell>
          <cell r="P3" t="str">
            <v>I12</v>
          </cell>
          <cell r="Q3" t="str">
            <v>I13</v>
          </cell>
          <cell r="R3" t="str">
            <v>I14</v>
          </cell>
          <cell r="S3" t="str">
            <v>I15</v>
          </cell>
          <cell r="T3" t="str">
            <v>I16</v>
          </cell>
          <cell r="U3" t="str">
            <v>I17</v>
          </cell>
          <cell r="V3" t="str">
            <v>I18</v>
          </cell>
          <cell r="W3" t="str">
            <v>I19</v>
          </cell>
          <cell r="X3" t="str">
            <v>I20</v>
          </cell>
          <cell r="Y3" t="str">
            <v>I21</v>
          </cell>
          <cell r="Z3" t="str">
            <v>I22</v>
          </cell>
          <cell r="AA3" t="str">
            <v>I23</v>
          </cell>
          <cell r="AB3" t="str">
            <v>I24</v>
          </cell>
          <cell r="AC3" t="str">
            <v>I25</v>
          </cell>
          <cell r="AD3" t="str">
            <v>I26</v>
          </cell>
          <cell r="AE3" t="str">
            <v>I27</v>
          </cell>
          <cell r="AF3" t="str">
            <v>I28</v>
          </cell>
          <cell r="AG3" t="str">
            <v>I29</v>
          </cell>
          <cell r="AH3" t="str">
            <v>I30</v>
          </cell>
          <cell r="AI3" t="str">
            <v>I31</v>
          </cell>
          <cell r="AJ3" t="str">
            <v>I32</v>
          </cell>
          <cell r="AK3" t="str">
            <v>I33</v>
          </cell>
          <cell r="AL3" t="str">
            <v>I34</v>
          </cell>
          <cell r="AM3" t="str">
            <v>I35</v>
          </cell>
          <cell r="AN3" t="str">
            <v>I36</v>
          </cell>
          <cell r="AO3" t="str">
            <v>I37</v>
          </cell>
          <cell r="AP3" t="str">
            <v>I38</v>
          </cell>
          <cell r="AQ3" t="str">
            <v>I39</v>
          </cell>
          <cell r="AR3" t="str">
            <v>I40</v>
          </cell>
          <cell r="AS3" t="str">
            <v>I41</v>
          </cell>
          <cell r="AT3" t="str">
            <v>I42</v>
          </cell>
          <cell r="AU3" t="str">
            <v>I43</v>
          </cell>
          <cell r="AV3" t="str">
            <v>I44</v>
          </cell>
          <cell r="AW3" t="str">
            <v>I45</v>
          </cell>
          <cell r="AX3" t="str">
            <v>I46</v>
          </cell>
          <cell r="AY3" t="str">
            <v>I47</v>
          </cell>
          <cell r="AZ3" t="str">
            <v>I48</v>
          </cell>
          <cell r="BA3" t="str">
            <v>I49</v>
          </cell>
          <cell r="BB3" t="str">
            <v>I50</v>
          </cell>
          <cell r="BC3" t="str">
            <v>I51</v>
          </cell>
          <cell r="BD3" t="str">
            <v>I52</v>
          </cell>
          <cell r="BE3" t="str">
            <v>I53</v>
          </cell>
          <cell r="BF3" t="str">
            <v>I54</v>
          </cell>
          <cell r="BG3" t="str">
            <v>I55</v>
          </cell>
          <cell r="BH3" t="str">
            <v>I56</v>
          </cell>
          <cell r="BI3" t="str">
            <v>I57</v>
          </cell>
          <cell r="BJ3" t="str">
            <v>I58</v>
          </cell>
          <cell r="BK3" t="str">
            <v>I59</v>
          </cell>
          <cell r="BL3" t="str">
            <v>I60</v>
          </cell>
          <cell r="BM3" t="str">
            <v>I61</v>
          </cell>
          <cell r="BN3" t="str">
            <v>I62</v>
          </cell>
        </row>
        <row r="5">
          <cell r="A5" t="str">
            <v>P1</v>
          </cell>
          <cell r="B5" t="str">
            <v xml:space="preserve">Agriculture </v>
          </cell>
          <cell r="C5">
            <v>96229.268775461431</v>
          </cell>
          <cell r="E5">
            <v>2209.3225934466764</v>
          </cell>
          <cell r="F5">
            <v>224.25137389750648</v>
          </cell>
          <cell r="G5">
            <v>20.539823810974866</v>
          </cell>
          <cell r="H5">
            <v>6.2846276320541712</v>
          </cell>
          <cell r="I5">
            <v>9.3813193626838043</v>
          </cell>
          <cell r="J5">
            <v>3.3536042272449844</v>
          </cell>
          <cell r="K5">
            <v>0.63705529884996803</v>
          </cell>
          <cell r="L5">
            <v>33957.773988792869</v>
          </cell>
          <cell r="M5">
            <v>5606.1178448806086</v>
          </cell>
          <cell r="N5">
            <v>1371.7516138372146</v>
          </cell>
          <cell r="O5">
            <v>22.410159408180498</v>
          </cell>
          <cell r="P5">
            <v>0.72206026267434131</v>
          </cell>
          <cell r="Q5">
            <v>53.178656687587164</v>
          </cell>
          <cell r="R5">
            <v>16.474173177505619</v>
          </cell>
          <cell r="S5">
            <v>78.954305457087173</v>
          </cell>
          <cell r="T5">
            <v>42.523489112787978</v>
          </cell>
          <cell r="U5">
            <v>60.696106945760313</v>
          </cell>
          <cell r="V5">
            <v>99.239026134192798</v>
          </cell>
          <cell r="W5">
            <v>253.35037621342315</v>
          </cell>
          <cell r="X5">
            <v>668.82738518307997</v>
          </cell>
          <cell r="Y5">
            <v>11.506734577976424</v>
          </cell>
          <cell r="Z5">
            <v>11.892783770343257</v>
          </cell>
          <cell r="AA5">
            <v>48.235414083661773</v>
          </cell>
          <cell r="AB5">
            <v>14.26515579106343</v>
          </cell>
          <cell r="AC5">
            <v>66.011242036496839</v>
          </cell>
          <cell r="AD5">
            <v>38.35765876299449</v>
          </cell>
          <cell r="AE5">
            <v>95.412307078833138</v>
          </cell>
          <cell r="AF5">
            <v>66.83417362428429</v>
          </cell>
          <cell r="AG5">
            <v>0</v>
          </cell>
          <cell r="AH5">
            <v>12.061631843540583</v>
          </cell>
          <cell r="AI5">
            <v>108.82760290583553</v>
          </cell>
          <cell r="AJ5">
            <v>86.286891149566912</v>
          </cell>
          <cell r="AK5">
            <v>19.216043167839</v>
          </cell>
          <cell r="AL5">
            <v>384.60197301647219</v>
          </cell>
          <cell r="AM5">
            <v>8.8303269838612533</v>
          </cell>
          <cell r="AN5">
            <v>0</v>
          </cell>
          <cell r="AO5">
            <v>2.8548385920604216</v>
          </cell>
          <cell r="AP5">
            <v>12.903741936499625</v>
          </cell>
          <cell r="AQ5">
            <v>4.3684186863107826</v>
          </cell>
          <cell r="AR5">
            <v>0</v>
          </cell>
          <cell r="AS5">
            <v>234.8950472107137</v>
          </cell>
          <cell r="AT5">
            <v>0.93006052886874413</v>
          </cell>
          <cell r="AU5">
            <v>2.5525263025488146E-2</v>
          </cell>
          <cell r="AV5">
            <v>0.30268910596692067</v>
          </cell>
          <cell r="AW5">
            <v>0.1903860981152567</v>
          </cell>
          <cell r="AX5">
            <v>1.5017856747026466</v>
          </cell>
          <cell r="AY5">
            <v>0</v>
          </cell>
          <cell r="AZ5">
            <v>0</v>
          </cell>
          <cell r="BA5">
            <v>0</v>
          </cell>
          <cell r="BB5">
            <v>28.189597911825331</v>
          </cell>
          <cell r="BC5">
            <v>2.2915598864097966</v>
          </cell>
          <cell r="BD5">
            <v>8.5193690638408075</v>
          </cell>
          <cell r="BE5">
            <v>0.84682692744507981</v>
          </cell>
          <cell r="BF5">
            <v>30.350285356995741</v>
          </cell>
          <cell r="BG5">
            <v>160.90125172525632</v>
          </cell>
          <cell r="BH5">
            <v>21.599381318920177</v>
          </cell>
          <cell r="BI5">
            <v>121.81615998954354</v>
          </cell>
          <cell r="BJ5">
            <v>0.51158041542250676</v>
          </cell>
          <cell r="BK5">
            <v>1.458355996388611</v>
          </cell>
          <cell r="BL5">
            <v>28.189633656255378</v>
          </cell>
          <cell r="BM5">
            <v>2.8250123325674861</v>
          </cell>
          <cell r="BN5">
            <v>1045.7890345193277</v>
          </cell>
        </row>
        <row r="6">
          <cell r="A6" t="str">
            <v>P2</v>
          </cell>
          <cell r="B6" t="str">
            <v xml:space="preserve">Live animal </v>
          </cell>
          <cell r="C6">
            <v>30765.606649822428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14883.066856892719</v>
          </cell>
          <cell r="M6">
            <v>56.640800583980969</v>
          </cell>
          <cell r="N6">
            <v>1436.4961451020049</v>
          </cell>
          <cell r="O6">
            <v>0</v>
          </cell>
          <cell r="P6">
            <v>2279.8466578719026</v>
          </cell>
          <cell r="Q6">
            <v>285.47960064542184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139.65055422778821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659.37099822208097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1734.2037285138949</v>
          </cell>
        </row>
        <row r="7">
          <cell r="A7" t="str">
            <v>P3</v>
          </cell>
          <cell r="B7" t="str">
            <v xml:space="preserve">Forestry </v>
          </cell>
          <cell r="C7">
            <v>14010.890030718776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3980.0671052038433</v>
          </cell>
          <cell r="S7">
            <v>5830.273874927123</v>
          </cell>
          <cell r="T7">
            <v>48.818359741645665</v>
          </cell>
          <cell r="U7">
            <v>0</v>
          </cell>
          <cell r="V7">
            <v>0</v>
          </cell>
          <cell r="W7">
            <v>28.875553505598418</v>
          </cell>
          <cell r="X7">
            <v>21.278496318991831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314.47397424552486</v>
          </cell>
          <cell r="AL7">
            <v>22.319587626819697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58.752418477953931</v>
          </cell>
        </row>
        <row r="8">
          <cell r="A8" t="str">
            <v>P4</v>
          </cell>
          <cell r="B8" t="str">
            <v xml:space="preserve">Fishing </v>
          </cell>
          <cell r="C8">
            <v>3493.7861820375292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1800.8610301983492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46.878737077512397</v>
          </cell>
          <cell r="AM8">
            <v>0.98784933087812965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58.204681942727667</v>
          </cell>
          <cell r="AT8">
            <v>1.0019851162674536</v>
          </cell>
          <cell r="AU8">
            <v>2.7499214133363713E-2</v>
          </cell>
          <cell r="AV8">
            <v>0.32609703306521104</v>
          </cell>
          <cell r="AW8">
            <v>0.20510927056301761</v>
          </cell>
          <cell r="AX8">
            <v>1.6179236159027417</v>
          </cell>
          <cell r="AY8">
            <v>0</v>
          </cell>
          <cell r="AZ8">
            <v>0</v>
          </cell>
          <cell r="BA8">
            <v>0</v>
          </cell>
          <cell r="BB8">
            <v>2.4670117649862129</v>
          </cell>
          <cell r="BC8">
            <v>0.20054579060072292</v>
          </cell>
          <cell r="BD8">
            <v>0.74557231275506475</v>
          </cell>
          <cell r="BE8">
            <v>7.4110031631128337E-2</v>
          </cell>
          <cell r="BF8">
            <v>2.6561042580528875</v>
          </cell>
          <cell r="BG8">
            <v>29.391989823420833</v>
          </cell>
          <cell r="BH8">
            <v>1.6799131315009073</v>
          </cell>
          <cell r="BI8">
            <v>9.474371685646064</v>
          </cell>
          <cell r="BJ8">
            <v>3.9788670101126612E-2</v>
          </cell>
          <cell r="BK8">
            <v>0.11342507234641518</v>
          </cell>
          <cell r="BL8">
            <v>2.1924764905123202</v>
          </cell>
          <cell r="BM8">
            <v>0.21971811340610056</v>
          </cell>
          <cell r="BN8">
            <v>152.03566366163449</v>
          </cell>
        </row>
        <row r="9">
          <cell r="A9" t="str">
            <v>P5</v>
          </cell>
          <cell r="B9" t="str">
            <v xml:space="preserve">Coal and lignite </v>
          </cell>
          <cell r="C9">
            <v>51412.86036622752</v>
          </cell>
          <cell r="E9">
            <v>9.1720854011617181</v>
          </cell>
          <cell r="F9">
            <v>0</v>
          </cell>
          <cell r="G9">
            <v>0</v>
          </cell>
          <cell r="H9">
            <v>55.424774967466064</v>
          </cell>
          <cell r="I9">
            <v>93.698934778616277</v>
          </cell>
          <cell r="J9">
            <v>1649.9825079555155</v>
          </cell>
          <cell r="K9">
            <v>296.19192718947147</v>
          </cell>
          <cell r="L9">
            <v>465.80608787022271</v>
          </cell>
          <cell r="M9">
            <v>57.236033007373344</v>
          </cell>
          <cell r="N9">
            <v>164.10026359211182</v>
          </cell>
          <cell r="O9">
            <v>35.024682620113865</v>
          </cell>
          <cell r="P9">
            <v>3.8186833491879026</v>
          </cell>
          <cell r="Q9">
            <v>0.68869153717824461</v>
          </cell>
          <cell r="R9">
            <v>87.908325159254701</v>
          </cell>
          <cell r="S9">
            <v>1710.6486298277175</v>
          </cell>
          <cell r="T9">
            <v>12.470169347112678</v>
          </cell>
          <cell r="U9">
            <v>4304.0765431427226</v>
          </cell>
          <cell r="V9">
            <v>276.9743598702716</v>
          </cell>
          <cell r="W9">
            <v>72.63913011493446</v>
          </cell>
          <cell r="X9">
            <v>40.393823022326345</v>
          </cell>
          <cell r="Y9">
            <v>11.263356497831392</v>
          </cell>
          <cell r="Z9">
            <v>13.411350554221301</v>
          </cell>
          <cell r="AA9">
            <v>802.43929253286376</v>
          </cell>
          <cell r="AB9">
            <v>2034.4365545205942</v>
          </cell>
          <cell r="AC9">
            <v>15.606710459196872</v>
          </cell>
          <cell r="AD9">
            <v>38.159544316577239</v>
          </cell>
          <cell r="AE9">
            <v>17.958048613929467</v>
          </cell>
          <cell r="AF9">
            <v>11.925419618628634</v>
          </cell>
          <cell r="AG9">
            <v>2.2293325461282025</v>
          </cell>
          <cell r="AH9">
            <v>0.20714450887311509</v>
          </cell>
          <cell r="AI9">
            <v>2.9939965420154517</v>
          </cell>
          <cell r="AJ9">
            <v>3.159147011181318</v>
          </cell>
          <cell r="AK9">
            <v>18.624212687357883</v>
          </cell>
          <cell r="AL9">
            <v>10.018107582896649</v>
          </cell>
          <cell r="AM9">
            <v>11158.18501702779</v>
          </cell>
          <cell r="AN9">
            <v>804.02233233409515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33.108049418915535</v>
          </cell>
          <cell r="AT9">
            <v>40.881483249787934</v>
          </cell>
          <cell r="AU9">
            <v>1.1219813984496148</v>
          </cell>
          <cell r="AV9">
            <v>13.304918584741369</v>
          </cell>
          <cell r="AW9">
            <v>8.3685586469930158</v>
          </cell>
          <cell r="AX9">
            <v>66.012075557926352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363.4941077562321</v>
          </cell>
          <cell r="BH9">
            <v>5.26555526591439</v>
          </cell>
          <cell r="BI9">
            <v>29.696671086803164</v>
          </cell>
          <cell r="BJ9">
            <v>0.1247144494831907</v>
          </cell>
          <cell r="BK9">
            <v>0.35552194680851307</v>
          </cell>
          <cell r="BL9">
            <v>6.8721447041110526</v>
          </cell>
          <cell r="BM9">
            <v>0.68868910383991988</v>
          </cell>
          <cell r="BN9">
            <v>53.215126226254611</v>
          </cell>
        </row>
        <row r="10">
          <cell r="A10" t="str">
            <v>P6</v>
          </cell>
          <cell r="B10" t="str">
            <v>Metal ores</v>
          </cell>
          <cell r="C10">
            <v>186905.07998329104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1.8857498108758473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8.88315401769351</v>
          </cell>
          <cell r="S10">
            <v>0</v>
          </cell>
          <cell r="T10">
            <v>0.26302863213147015</v>
          </cell>
          <cell r="U10">
            <v>8.1786273247213437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0.10974345819447817</v>
          </cell>
          <cell r="AB10">
            <v>25522.131131930688</v>
          </cell>
          <cell r="AC10">
            <v>9034.5949728557316</v>
          </cell>
          <cell r="AD10">
            <v>1728.611410197504</v>
          </cell>
          <cell r="AE10">
            <v>1399.8929464895748</v>
          </cell>
          <cell r="AF10">
            <v>2128.0357426742312</v>
          </cell>
          <cell r="AG10">
            <v>405.30043721720824</v>
          </cell>
          <cell r="AH10">
            <v>0</v>
          </cell>
          <cell r="AI10">
            <v>3548.6044900326015</v>
          </cell>
          <cell r="AJ10">
            <v>301.27953049050365</v>
          </cell>
          <cell r="AK10">
            <v>0</v>
          </cell>
          <cell r="AL10">
            <v>165.89242875777404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9.3431597841957608</v>
          </cell>
        </row>
        <row r="11">
          <cell r="A11" t="str">
            <v>P7</v>
          </cell>
          <cell r="B11" t="str">
            <v>Other minerals</v>
          </cell>
          <cell r="C11">
            <v>117340.52626055163</v>
          </cell>
          <cell r="E11">
            <v>1097.7741815890272</v>
          </cell>
          <cell r="F11">
            <v>111.84663147784698</v>
          </cell>
          <cell r="G11">
            <v>10.01478709761837</v>
          </cell>
          <cell r="H11">
            <v>104.56554921803004</v>
          </cell>
          <cell r="I11">
            <v>191.9707060593411</v>
          </cell>
          <cell r="J11">
            <v>230.09368965568663</v>
          </cell>
          <cell r="K11">
            <v>40.410857347638498</v>
          </cell>
          <cell r="L11">
            <v>421.19418373922468</v>
          </cell>
          <cell r="M11">
            <v>0.10083434202820429</v>
          </cell>
          <cell r="N11">
            <v>11.707007142253463</v>
          </cell>
          <cell r="O11">
            <v>0</v>
          </cell>
          <cell r="P11">
            <v>0</v>
          </cell>
          <cell r="Q11">
            <v>0</v>
          </cell>
          <cell r="R11">
            <v>308.66313037827189</v>
          </cell>
          <cell r="S11">
            <v>1.5894424642295717</v>
          </cell>
          <cell r="T11">
            <v>185.0497401820335</v>
          </cell>
          <cell r="U11">
            <v>50914.374373193605</v>
          </cell>
          <cell r="V11">
            <v>5642.3943158228221</v>
          </cell>
          <cell r="W11">
            <v>2441.4589331779603</v>
          </cell>
          <cell r="X11">
            <v>0</v>
          </cell>
          <cell r="Y11">
            <v>514.46451934929723</v>
          </cell>
          <cell r="Z11">
            <v>1133.2822320153884</v>
          </cell>
          <cell r="AA11">
            <v>9060.9005622070326</v>
          </cell>
          <cell r="AB11">
            <v>342.66367641869169</v>
          </cell>
          <cell r="AC11">
            <v>131.1643751304222</v>
          </cell>
          <cell r="AD11">
            <v>26.32242175014672</v>
          </cell>
          <cell r="AE11">
            <v>262.82478906942015</v>
          </cell>
          <cell r="AF11">
            <v>0</v>
          </cell>
          <cell r="AG11">
            <v>3.8968597061817447</v>
          </cell>
          <cell r="AH11">
            <v>0</v>
          </cell>
          <cell r="AI11">
            <v>99.864001387148136</v>
          </cell>
          <cell r="AJ11">
            <v>0.17671965802001532</v>
          </cell>
          <cell r="AK11">
            <v>2.9511572433041482</v>
          </cell>
          <cell r="AL11">
            <v>4927.0750656688115</v>
          </cell>
          <cell r="AM11">
            <v>31.492934600557092</v>
          </cell>
          <cell r="AN11">
            <v>18.563917518454112</v>
          </cell>
          <cell r="AO11">
            <v>4873.3470116833842</v>
          </cell>
          <cell r="AP11">
            <v>0</v>
          </cell>
          <cell r="AQ11">
            <v>0</v>
          </cell>
          <cell r="AR11">
            <v>0</v>
          </cell>
          <cell r="AS11">
            <v>16.530023432038359</v>
          </cell>
          <cell r="AT11">
            <v>352.83586459090361</v>
          </cell>
          <cell r="AU11">
            <v>9.6834861484368293</v>
          </cell>
          <cell r="AV11">
            <v>114.83077616033189</v>
          </cell>
          <cell r="AW11">
            <v>72.226528757533742</v>
          </cell>
          <cell r="AX11">
            <v>569.73049658225443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1133.5093277612064</v>
          </cell>
          <cell r="BH11">
            <v>144.25977410930466</v>
          </cell>
          <cell r="BI11">
            <v>813.59606849299496</v>
          </cell>
          <cell r="BJ11">
            <v>3.4167865309618106</v>
          </cell>
          <cell r="BK11">
            <v>9.7401913278731858</v>
          </cell>
          <cell r="BL11">
            <v>188.27530860401291</v>
          </cell>
          <cell r="BM11">
            <v>18.867931212233458</v>
          </cell>
          <cell r="BN11">
            <v>2979.2443461483167</v>
          </cell>
        </row>
        <row r="12">
          <cell r="A12" t="str">
            <v>P8</v>
          </cell>
          <cell r="B12" t="str">
            <v>Electricity and gas</v>
          </cell>
          <cell r="C12">
            <v>11641.845611643848</v>
          </cell>
          <cell r="E12">
            <v>783.75426624306317</v>
          </cell>
          <cell r="F12">
            <v>79.707880861929667</v>
          </cell>
          <cell r="G12">
            <v>7.2521860192699652</v>
          </cell>
          <cell r="H12">
            <v>739.9262817452526</v>
          </cell>
          <cell r="I12">
            <v>75.431856910272828</v>
          </cell>
          <cell r="J12">
            <v>882.54109336621559</v>
          </cell>
          <cell r="K12">
            <v>210.77436921205026</v>
          </cell>
          <cell r="L12">
            <v>157.20207758561057</v>
          </cell>
          <cell r="M12">
            <v>3.5284519238696803</v>
          </cell>
          <cell r="N12">
            <v>66.77419401414798</v>
          </cell>
          <cell r="O12">
            <v>5.94033410368516</v>
          </cell>
          <cell r="P12">
            <v>1.8000782122218291</v>
          </cell>
          <cell r="Q12">
            <v>8.269132478009018E-3</v>
          </cell>
          <cell r="R12">
            <v>42.255548236869295</v>
          </cell>
          <cell r="S12">
            <v>183.19731293891178</v>
          </cell>
          <cell r="T12">
            <v>7.5552662377629085</v>
          </cell>
          <cell r="U12">
            <v>0.24768324062249217</v>
          </cell>
          <cell r="V12">
            <v>4245.9609175216674</v>
          </cell>
          <cell r="W12">
            <v>1362.7854387027764</v>
          </cell>
          <cell r="X12">
            <v>10.414338584933509</v>
          </cell>
          <cell r="Y12">
            <v>23.009859524697298</v>
          </cell>
          <cell r="Z12">
            <v>128.10700229799156</v>
          </cell>
          <cell r="AA12">
            <v>147.40773230189279</v>
          </cell>
          <cell r="AB12">
            <v>979.37270447743981</v>
          </cell>
          <cell r="AC12">
            <v>122.86323929437694</v>
          </cell>
          <cell r="AD12">
            <v>172.25913486464387</v>
          </cell>
          <cell r="AE12">
            <v>97.621093305598677</v>
          </cell>
          <cell r="AF12">
            <v>11.437758289627643</v>
          </cell>
          <cell r="AG12">
            <v>1.9042455710821589</v>
          </cell>
          <cell r="AH12">
            <v>0.33558781888575995</v>
          </cell>
          <cell r="AI12">
            <v>240.69218804957842</v>
          </cell>
          <cell r="AJ12">
            <v>51.344506887713699</v>
          </cell>
          <cell r="AK12">
            <v>14.10064677021753</v>
          </cell>
          <cell r="AL12">
            <v>13.654138332921409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9.7319363493069986</v>
          </cell>
        </row>
        <row r="13">
          <cell r="A13" t="str">
            <v>P9</v>
          </cell>
          <cell r="B13" t="str">
            <v>Natural water</v>
          </cell>
          <cell r="C13">
            <v>5832.9918685860657</v>
          </cell>
          <cell r="E13">
            <v>286.17395650672876</v>
          </cell>
          <cell r="F13">
            <v>29.573335687569507</v>
          </cell>
          <cell r="G13">
            <v>3.0893414749411914</v>
          </cell>
          <cell r="H13">
            <v>37.735039883747731</v>
          </cell>
          <cell r="I13">
            <v>13.657790205938102</v>
          </cell>
          <cell r="J13">
            <v>159.74648826663017</v>
          </cell>
          <cell r="K13">
            <v>38.148220310524088</v>
          </cell>
          <cell r="L13">
            <v>133.49060723851284</v>
          </cell>
          <cell r="M13">
            <v>692.74906923644187</v>
          </cell>
          <cell r="N13">
            <v>0</v>
          </cell>
          <cell r="O13">
            <v>0</v>
          </cell>
          <cell r="P13">
            <v>5.3642101651350534E-2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34.91067472408767</v>
          </cell>
          <cell r="W13">
            <v>17.808853773025056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3.6600385275447604</v>
          </cell>
          <cell r="AM13">
            <v>0</v>
          </cell>
          <cell r="AN13">
            <v>4208.4203901611227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9.7192569830772406</v>
          </cell>
        </row>
        <row r="14">
          <cell r="A14" t="str">
            <v>P10</v>
          </cell>
          <cell r="B14" t="str">
            <v xml:space="preserve">Meat </v>
          </cell>
          <cell r="C14">
            <v>36815.432560295318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2715.7142649825892</v>
          </cell>
          <cell r="M14">
            <v>2.2671889920390507E-2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19.660403317632152</v>
          </cell>
          <cell r="T14">
            <v>0</v>
          </cell>
          <cell r="U14">
            <v>0</v>
          </cell>
          <cell r="V14">
            <v>0</v>
          </cell>
          <cell r="W14">
            <v>2.1777469932264224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10.193613160192932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90.994167171878701</v>
          </cell>
          <cell r="AM14">
            <v>26.446297623421003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1183.5894878278959</v>
          </cell>
          <cell r="AT14">
            <v>10.869573523705805</v>
          </cell>
          <cell r="AU14">
            <v>0.29831254478129365</v>
          </cell>
          <cell r="AV14">
            <v>3.5375133015633677</v>
          </cell>
          <cell r="AW14">
            <v>2.2250333468858483</v>
          </cell>
          <cell r="AX14">
            <v>17.551298330962926</v>
          </cell>
          <cell r="AY14">
            <v>0</v>
          </cell>
          <cell r="AZ14">
            <v>0</v>
          </cell>
          <cell r="BA14">
            <v>0</v>
          </cell>
          <cell r="BB14">
            <v>191.25025250287058</v>
          </cell>
          <cell r="BC14">
            <v>15.546919408789419</v>
          </cell>
          <cell r="BD14">
            <v>57.799032455912176</v>
          </cell>
          <cell r="BE14">
            <v>5.7452349695333185</v>
          </cell>
          <cell r="BF14">
            <v>205.90927746524139</v>
          </cell>
          <cell r="BG14">
            <v>376.07102091808696</v>
          </cell>
          <cell r="BH14">
            <v>26.374478113650596</v>
          </cell>
          <cell r="BI14">
            <v>148.74674408932586</v>
          </cell>
          <cell r="BJ14">
            <v>0.62467837715861385</v>
          </cell>
          <cell r="BK14">
            <v>1.7807629644915004</v>
          </cell>
          <cell r="BL14">
            <v>34.421674626738756</v>
          </cell>
          <cell r="BM14">
            <v>3.449553708782755</v>
          </cell>
          <cell r="BN14">
            <v>812.48382416676532</v>
          </cell>
        </row>
        <row r="15">
          <cell r="A15" t="str">
            <v>P11</v>
          </cell>
          <cell r="B15" t="str">
            <v xml:space="preserve">Fish </v>
          </cell>
          <cell r="C15">
            <v>12954.533636815091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228.90748589976118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2.5578977805023801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6.7272474125097297</v>
          </cell>
        </row>
        <row r="16">
          <cell r="A16" t="str">
            <v>P12</v>
          </cell>
          <cell r="B16" t="str">
            <v xml:space="preserve">Vegetables </v>
          </cell>
          <cell r="C16">
            <v>7316.8621950158258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259.2392770881674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6.7246218923180496</v>
          </cell>
          <cell r="AM16">
            <v>2.1677316993670566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16.754009582543823</v>
          </cell>
          <cell r="AT16">
            <v>0.7409064351757797</v>
          </cell>
          <cell r="AU16">
            <v>2.0333979400396177E-2</v>
          </cell>
          <cell r="AV16">
            <v>0.24112872174166661</v>
          </cell>
          <cell r="AW16">
            <v>0.15166570441729627</v>
          </cell>
          <cell r="AX16">
            <v>1.1963551146454749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43.897555942634249</v>
          </cell>
          <cell r="BH16">
            <v>4.0649037066003464</v>
          </cell>
          <cell r="BI16">
            <v>22.92523813316669</v>
          </cell>
          <cell r="BJ16">
            <v>9.627706905908015E-2</v>
          </cell>
          <cell r="BK16">
            <v>0.27445585629206065</v>
          </cell>
          <cell r="BL16">
            <v>5.3051587286272639</v>
          </cell>
          <cell r="BM16">
            <v>0.53165426047579656</v>
          </cell>
          <cell r="BN16">
            <v>30.907699977116806</v>
          </cell>
        </row>
        <row r="17">
          <cell r="A17" t="str">
            <v>P13</v>
          </cell>
          <cell r="B17" t="str">
            <v>Fruit and nuts</v>
          </cell>
          <cell r="C17">
            <v>11777.380832340496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2589.7016181070412</v>
          </cell>
          <cell r="M17">
            <v>647.49432364008464</v>
          </cell>
          <cell r="N17">
            <v>0</v>
          </cell>
          <cell r="O17">
            <v>0</v>
          </cell>
          <cell r="P17">
            <v>0.12476756027554697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1.0117616685676594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67.486851653551696</v>
          </cell>
          <cell r="AM17">
            <v>1.4042225219995985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13.32065679193421</v>
          </cell>
          <cell r="AT17">
            <v>0.47998665492320125</v>
          </cell>
          <cell r="AU17">
            <v>1.3173105658554195E-2</v>
          </cell>
          <cell r="AV17">
            <v>0.15621212485113647</v>
          </cell>
          <cell r="AW17">
            <v>9.8254665735974939E-2</v>
          </cell>
          <cell r="AX17">
            <v>0.77504319346707795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28.438464070311639</v>
          </cell>
          <cell r="BH17">
            <v>2.3700557804276574</v>
          </cell>
          <cell r="BI17">
            <v>13.366637213808731</v>
          </cell>
          <cell r="BJ17">
            <v>5.6134668989968814E-2</v>
          </cell>
          <cell r="BK17">
            <v>0.16002241027776853</v>
          </cell>
          <cell r="BL17">
            <v>3.0931906432256193</v>
          </cell>
          <cell r="BM17">
            <v>0.30998280504988984</v>
          </cell>
          <cell r="BN17">
            <v>187.25123702899305</v>
          </cell>
        </row>
        <row r="18">
          <cell r="A18" t="str">
            <v>P14</v>
          </cell>
          <cell r="B18" t="str">
            <v>Oils and fats</v>
          </cell>
          <cell r="C18">
            <v>18298.287722114841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4019.8271662779171</v>
          </cell>
          <cell r="M18">
            <v>0</v>
          </cell>
          <cell r="N18">
            <v>11.82675027893157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351.48400100303729</v>
          </cell>
          <cell r="W18">
            <v>1393.6741814506988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36.4829347446722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86.497793634333433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59.616857970596385</v>
          </cell>
          <cell r="BH18">
            <v>10.590883574837571</v>
          </cell>
          <cell r="BI18">
            <v>59.730450096407978</v>
          </cell>
          <cell r="BJ18">
            <v>0.25084462091332244</v>
          </cell>
          <cell r="BK18">
            <v>0.71507967475386447</v>
          </cell>
          <cell r="BL18">
            <v>13.822299984546367</v>
          </cell>
          <cell r="BM18">
            <v>1.3851960049195631</v>
          </cell>
          <cell r="BN18">
            <v>149.67363103021484</v>
          </cell>
        </row>
        <row r="19">
          <cell r="A19" t="str">
            <v>P15</v>
          </cell>
          <cell r="B19" t="str">
            <v>Dairy products</v>
          </cell>
          <cell r="C19">
            <v>34954.720520000257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8843.93272677803</v>
          </cell>
          <cell r="M19">
            <v>21.186533918901329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253.11241992071456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6.8896596405189596</v>
          </cell>
          <cell r="AM19">
            <v>6.3873543031771929</v>
          </cell>
          <cell r="AN19">
            <v>0</v>
          </cell>
          <cell r="AO19">
            <v>0</v>
          </cell>
          <cell r="AP19">
            <v>234.71178186371452</v>
          </cell>
          <cell r="AQ19">
            <v>79.45906999972776</v>
          </cell>
          <cell r="AR19">
            <v>0</v>
          </cell>
          <cell r="AS19">
            <v>695.6824013066921</v>
          </cell>
          <cell r="AT19">
            <v>5.5552983378106937</v>
          </cell>
          <cell r="AU19">
            <v>0.15246368043394998</v>
          </cell>
          <cell r="AV19">
            <v>1.8079772606808202</v>
          </cell>
          <cell r="AW19">
            <v>1.137185743908945</v>
          </cell>
          <cell r="AX19">
            <v>8.97024140199904</v>
          </cell>
          <cell r="AY19">
            <v>0</v>
          </cell>
          <cell r="AZ19">
            <v>0</v>
          </cell>
          <cell r="BA19">
            <v>0</v>
          </cell>
          <cell r="BB19">
            <v>44.675705227650667</v>
          </cell>
          <cell r="BC19">
            <v>3.6317316166402955</v>
          </cell>
          <cell r="BD19">
            <v>13.50174707039916</v>
          </cell>
          <cell r="BE19">
            <v>1.342076261878963</v>
          </cell>
          <cell r="BF19">
            <v>48.10002634395245</v>
          </cell>
          <cell r="BG19">
            <v>105.34143743594825</v>
          </cell>
          <cell r="BH19">
            <v>11.88650254602859</v>
          </cell>
          <cell r="BI19">
            <v>67.03748012424677</v>
          </cell>
          <cell r="BJ19">
            <v>0.28153130039383767</v>
          </cell>
          <cell r="BK19">
            <v>0.80255781441781071</v>
          </cell>
          <cell r="BL19">
            <v>15.513229165188063</v>
          </cell>
          <cell r="BM19">
            <v>1.5546517646878764</v>
          </cell>
          <cell r="BN19">
            <v>350.12879190138699</v>
          </cell>
        </row>
        <row r="20">
          <cell r="A20" t="str">
            <v>P16</v>
          </cell>
          <cell r="B20" t="str">
            <v>Grain mill products</v>
          </cell>
          <cell r="C20">
            <v>44571.272800761166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9435.4269857738946</v>
          </cell>
          <cell r="M20">
            <v>15.269571125364621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220.047179712016</v>
          </cell>
          <cell r="AM20">
            <v>2.279445735610798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53.106972591422604</v>
          </cell>
          <cell r="AT20">
            <v>0.95446869061673545</v>
          </cell>
          <cell r="AU20">
            <v>2.6195138511273905E-2</v>
          </cell>
          <cell r="AV20">
            <v>0.31063276600674977</v>
          </cell>
          <cell r="AW20">
            <v>0.19538251988902888</v>
          </cell>
          <cell r="AX20">
            <v>1.5411979780110725</v>
          </cell>
          <cell r="AY20">
            <v>0</v>
          </cell>
          <cell r="AZ20">
            <v>0</v>
          </cell>
          <cell r="BA20">
            <v>0</v>
          </cell>
          <cell r="BB20">
            <v>20.481024791477616</v>
          </cell>
          <cell r="BC20">
            <v>1.664922465070952</v>
          </cell>
          <cell r="BD20">
            <v>6.1897090391302267</v>
          </cell>
          <cell r="BE20">
            <v>0.61525827183998127</v>
          </cell>
          <cell r="BF20">
            <v>22.050862476626264</v>
          </cell>
          <cell r="BG20">
            <v>35.071646008804649</v>
          </cell>
          <cell r="BH20">
            <v>4.0513755040304629</v>
          </cell>
          <cell r="BI20">
            <v>22.848941795586935</v>
          </cell>
          <cell r="BJ20">
            <v>9.5956654164393265E-2</v>
          </cell>
          <cell r="BK20">
            <v>0.27354245349376555</v>
          </cell>
          <cell r="BL20">
            <v>5.2875028953956518</v>
          </cell>
          <cell r="BM20">
            <v>0.52988488854180171</v>
          </cell>
          <cell r="BN20">
            <v>608.39676472688313</v>
          </cell>
        </row>
        <row r="21">
          <cell r="A21" t="str">
            <v>P17</v>
          </cell>
          <cell r="B21" t="str">
            <v>Starches products</v>
          </cell>
          <cell r="C21">
            <v>10057.091367236533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223.32744880345467</v>
          </cell>
          <cell r="M21">
            <v>37.279545423879107</v>
          </cell>
          <cell r="N21">
            <v>9.2327610682294257</v>
          </cell>
          <cell r="O21">
            <v>0</v>
          </cell>
          <cell r="P21">
            <v>0</v>
          </cell>
          <cell r="Q21">
            <v>0</v>
          </cell>
          <cell r="R21">
            <v>1.3841455109607372</v>
          </cell>
          <cell r="S21">
            <v>197.53862099135222</v>
          </cell>
          <cell r="T21">
            <v>0</v>
          </cell>
          <cell r="U21">
            <v>0</v>
          </cell>
          <cell r="V21">
            <v>20.870446049994197</v>
          </cell>
          <cell r="W21">
            <v>222.89305904245444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3.6210170042198802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9.6668330305469237</v>
          </cell>
        </row>
        <row r="22">
          <cell r="A22" t="str">
            <v>P18</v>
          </cell>
          <cell r="B22" t="str">
            <v xml:space="preserve">Animal feeding </v>
          </cell>
          <cell r="C22">
            <v>16100.40840218369</v>
          </cell>
          <cell r="E22">
            <v>11435.371176584174</v>
          </cell>
          <cell r="F22">
            <v>1159.7279366635639</v>
          </cell>
          <cell r="G22">
            <v>107.17540856314253</v>
          </cell>
          <cell r="H22">
            <v>4.4257612153077073</v>
          </cell>
          <cell r="I22">
            <v>6.3686365293055074</v>
          </cell>
          <cell r="J22">
            <v>0</v>
          </cell>
          <cell r="K22">
            <v>0</v>
          </cell>
          <cell r="L22">
            <v>722.65923492406375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0.18055284327912599</v>
          </cell>
          <cell r="AM22">
            <v>4.2900704124486255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3.3668233103288889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0.47485230138173501</v>
          </cell>
        </row>
        <row r="23">
          <cell r="A23" t="str">
            <v>P19</v>
          </cell>
          <cell r="B23" t="str">
            <v>Bakery products</v>
          </cell>
          <cell r="C23">
            <v>30697.539911223306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168.6704016303303</v>
          </cell>
          <cell r="M23">
            <v>0.28950514156071477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4.0861776619349204</v>
          </cell>
          <cell r="AM23">
            <v>3.3206818532909006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71.142956795584553</v>
          </cell>
          <cell r="AT23">
            <v>1.37910862407381</v>
          </cell>
          <cell r="AU23">
            <v>3.7849268168621317E-2</v>
          </cell>
          <cell r="AV23">
            <v>0.4488322463914447</v>
          </cell>
          <cell r="AW23">
            <v>0.2823075505998256</v>
          </cell>
          <cell r="AX23">
            <v>2.2268718123239695</v>
          </cell>
          <cell r="AY23">
            <v>0</v>
          </cell>
          <cell r="AZ23">
            <v>0</v>
          </cell>
          <cell r="BA23">
            <v>0</v>
          </cell>
          <cell r="BB23">
            <v>54.084022237485541</v>
          </cell>
          <cell r="BC23">
            <v>4.3965428752400673</v>
          </cell>
          <cell r="BD23">
            <v>16.345098193288809</v>
          </cell>
          <cell r="BE23">
            <v>1.6247059116805902</v>
          </cell>
          <cell r="BF23">
            <v>58.229475755424367</v>
          </cell>
          <cell r="BG23">
            <v>89.84707644837502</v>
          </cell>
          <cell r="BH23">
            <v>11.885535884966853</v>
          </cell>
          <cell r="BI23">
            <v>67.032028350568481</v>
          </cell>
          <cell r="BJ23">
            <v>0.28150840506826419</v>
          </cell>
          <cell r="BK23">
            <v>0.80249254699487116</v>
          </cell>
          <cell r="BL23">
            <v>15.511967563256407</v>
          </cell>
          <cell r="BM23">
            <v>1.5545253337785647</v>
          </cell>
          <cell r="BN23">
            <v>59.338720587414201</v>
          </cell>
        </row>
        <row r="24">
          <cell r="A24" t="str">
            <v>P20</v>
          </cell>
          <cell r="B24" t="str">
            <v>Sugar</v>
          </cell>
          <cell r="C24">
            <v>14187.564511899274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1531.2584271393148</v>
          </cell>
          <cell r="M24">
            <v>657.49531386692979</v>
          </cell>
          <cell r="N24">
            <v>0</v>
          </cell>
          <cell r="O24">
            <v>0</v>
          </cell>
          <cell r="P24">
            <v>0.64323070344991973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214.83256892882306</v>
          </cell>
          <cell r="W24">
            <v>297.53626721048721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22.0138951090807</v>
          </cell>
          <cell r="AM24">
            <v>6.6269438988832752</v>
          </cell>
          <cell r="AN24">
            <v>0</v>
          </cell>
          <cell r="AO24">
            <v>0</v>
          </cell>
          <cell r="AP24">
            <v>127.91755050193832</v>
          </cell>
          <cell r="AQ24">
            <v>43.305067682665708</v>
          </cell>
          <cell r="AR24">
            <v>0</v>
          </cell>
          <cell r="AS24">
            <v>0</v>
          </cell>
          <cell r="AT24">
            <v>4.3183125953787886</v>
          </cell>
          <cell r="AU24">
            <v>0.11851493682609314</v>
          </cell>
          <cell r="AV24">
            <v>1.4053990446952775</v>
          </cell>
          <cell r="AW24">
            <v>0.88397116096963257</v>
          </cell>
          <cell r="AX24">
            <v>6.9728579950769598</v>
          </cell>
          <cell r="AY24">
            <v>0</v>
          </cell>
          <cell r="AZ24">
            <v>0</v>
          </cell>
          <cell r="BA24">
            <v>0</v>
          </cell>
          <cell r="BB24">
            <v>67.070034671577957</v>
          </cell>
          <cell r="BC24">
            <v>5.4521884815189265</v>
          </cell>
          <cell r="BD24">
            <v>20.269688850442154</v>
          </cell>
          <cell r="BE24">
            <v>2.0148109796465672</v>
          </cell>
          <cell r="BF24">
            <v>72.210845204431962</v>
          </cell>
          <cell r="BG24">
            <v>33.284772344371525</v>
          </cell>
          <cell r="BH24">
            <v>3.1861405007263794</v>
          </cell>
          <cell r="BI24">
            <v>17.969190656663439</v>
          </cell>
          <cell r="BJ24">
            <v>7.5463600410085929E-2</v>
          </cell>
          <cell r="BK24">
            <v>0.21512315727769277</v>
          </cell>
          <cell r="BL24">
            <v>4.1582734323116481</v>
          </cell>
          <cell r="BM24">
            <v>0.41671963075906954</v>
          </cell>
          <cell r="BN24">
            <v>62.75127196762206</v>
          </cell>
        </row>
        <row r="25">
          <cell r="A25" t="str">
            <v>P21</v>
          </cell>
          <cell r="B25" t="str">
            <v>Confectionary products</v>
          </cell>
          <cell r="C25">
            <v>4767.1843478216551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329.73757071329152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2.1270433235513604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29.748751717750658</v>
          </cell>
          <cell r="AT25">
            <v>2.9030646164511786</v>
          </cell>
          <cell r="AU25">
            <v>7.9673833707399194E-2</v>
          </cell>
          <cell r="AV25">
            <v>0.94480521002932416</v>
          </cell>
          <cell r="AW25">
            <v>0.59426577921210355</v>
          </cell>
          <cell r="AX25">
            <v>4.6876313082820902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0.60004282314762014</v>
          </cell>
          <cell r="BI25">
            <v>3.3841206590996178</v>
          </cell>
          <cell r="BJ25">
            <v>1.4211988399327906E-2</v>
          </cell>
          <cell r="BK25">
            <v>4.0513940483135863E-2</v>
          </cell>
          <cell r="BL25">
            <v>0.78312369751904809</v>
          </cell>
          <cell r="BM25">
            <v>7.848041341701617E-2</v>
          </cell>
          <cell r="BN25">
            <v>20.111189179711577</v>
          </cell>
        </row>
        <row r="26">
          <cell r="A26" t="str">
            <v>P22</v>
          </cell>
          <cell r="B26" t="str">
            <v>Pasta products</v>
          </cell>
          <cell r="C26">
            <v>1122.327623917505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36.974506852387108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0.61759926944501498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1.6242803441996301</v>
          </cell>
        </row>
        <row r="27">
          <cell r="A27" t="str">
            <v>P23</v>
          </cell>
          <cell r="B27" t="str">
            <v>Food n.e.c.</v>
          </cell>
          <cell r="C27">
            <v>18820.978187275214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3231.4949520590258</v>
          </cell>
          <cell r="M27">
            <v>183.48321301982403</v>
          </cell>
          <cell r="N27">
            <v>0</v>
          </cell>
          <cell r="O27">
            <v>0</v>
          </cell>
          <cell r="P27">
            <v>5.7074255800630934E-2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14.7354343469099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51.360285408569396</v>
          </cell>
          <cell r="AM27">
            <v>1.9971985142908639</v>
          </cell>
          <cell r="AN27">
            <v>0</v>
          </cell>
          <cell r="AO27">
            <v>0</v>
          </cell>
          <cell r="AP27">
            <v>250.49391439565571</v>
          </cell>
          <cell r="AQ27">
            <v>84.801935891004476</v>
          </cell>
          <cell r="AR27">
            <v>0</v>
          </cell>
          <cell r="AS27">
            <v>133.8740863246428</v>
          </cell>
          <cell r="AT27">
            <v>6.0838450005255993</v>
          </cell>
          <cell r="AU27">
            <v>0.16696950254797083</v>
          </cell>
          <cell r="AV27">
            <v>1.9799932874157014</v>
          </cell>
          <cell r="AW27">
            <v>1.2453807846215472</v>
          </cell>
          <cell r="AX27">
            <v>9.8236953244472058</v>
          </cell>
          <cell r="AY27">
            <v>0</v>
          </cell>
          <cell r="AZ27">
            <v>0</v>
          </cell>
          <cell r="BA27">
            <v>0</v>
          </cell>
          <cell r="BB27">
            <v>109.02288331384493</v>
          </cell>
          <cell r="BC27">
            <v>8.8625764327749419</v>
          </cell>
          <cell r="BD27">
            <v>32.948543014339251</v>
          </cell>
          <cell r="BE27">
            <v>3.2750915279688426</v>
          </cell>
          <cell r="BF27">
            <v>117.37931237499497</v>
          </cell>
          <cell r="BG27">
            <v>55.761085805365511</v>
          </cell>
          <cell r="BH27">
            <v>11.558106075765075</v>
          </cell>
          <cell r="BI27">
            <v>65.185390179124909</v>
          </cell>
          <cell r="BJ27">
            <v>0.27375324415231272</v>
          </cell>
          <cell r="BK27">
            <v>0.78038500518173182</v>
          </cell>
          <cell r="BL27">
            <v>15.084634658056316</v>
          </cell>
          <cell r="BM27">
            <v>1.5117003456278428</v>
          </cell>
          <cell r="BN27">
            <v>211.99716647409909</v>
          </cell>
        </row>
        <row r="28">
          <cell r="A28" t="str">
            <v>P24</v>
          </cell>
          <cell r="B28" t="str">
            <v>Alcohol, beverages</v>
          </cell>
          <cell r="C28">
            <v>60645.792659419691</v>
          </cell>
          <cell r="E28">
            <v>0</v>
          </cell>
          <cell r="F28">
            <v>0</v>
          </cell>
          <cell r="G28">
            <v>0</v>
          </cell>
          <cell r="H28">
            <v>5.3006193709993985</v>
          </cell>
          <cell r="I28">
            <v>7.6983646087387214</v>
          </cell>
          <cell r="J28">
            <v>2.0337381125862195</v>
          </cell>
          <cell r="K28">
            <v>0.4482577951237236</v>
          </cell>
          <cell r="L28">
            <v>263.49565011403536</v>
          </cell>
          <cell r="M28">
            <v>11586.512722270005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0.76785508558245896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741.27131325927996</v>
          </cell>
          <cell r="AT28">
            <v>73.262842977946065</v>
          </cell>
          <cell r="AU28">
            <v>2.0106791751303539</v>
          </cell>
          <cell r="AV28">
            <v>23.843463681404195</v>
          </cell>
          <cell r="AW28">
            <v>14.99711726113944</v>
          </cell>
          <cell r="AX28">
            <v>118.29884685687637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65.341452389615171</v>
          </cell>
          <cell r="BH28">
            <v>1.3069753248472307</v>
          </cell>
          <cell r="BI28">
            <v>7.3710775750097923</v>
          </cell>
          <cell r="BJ28">
            <v>3.0955654227310121E-2</v>
          </cell>
          <cell r="BK28">
            <v>8.8244902665490801E-2</v>
          </cell>
          <cell r="BL28">
            <v>1.7057505055913382</v>
          </cell>
          <cell r="BM28">
            <v>0.17094107264176947</v>
          </cell>
          <cell r="BN28">
            <v>349.3800580853777</v>
          </cell>
        </row>
        <row r="29">
          <cell r="A29" t="str">
            <v>P25</v>
          </cell>
          <cell r="B29" t="str">
            <v>Soft drinks</v>
          </cell>
          <cell r="C29">
            <v>17074.430762744367</v>
          </cell>
          <cell r="E29">
            <v>0</v>
          </cell>
          <cell r="F29">
            <v>0</v>
          </cell>
          <cell r="G29">
            <v>0</v>
          </cell>
          <cell r="H29">
            <v>81.468278990186704</v>
          </cell>
          <cell r="I29">
            <v>119.70105513662293</v>
          </cell>
          <cell r="J29">
            <v>31.622378299904877</v>
          </cell>
          <cell r="K29">
            <v>6.9699129330166478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4098.1152219806845</v>
          </cell>
          <cell r="AT29">
            <v>512.62028023021344</v>
          </cell>
          <cell r="AU29">
            <v>14.068726796729052</v>
          </cell>
          <cell r="AV29">
            <v>166.83277002640477</v>
          </cell>
          <cell r="AW29">
            <v>104.93486384857948</v>
          </cell>
          <cell r="AX29">
            <v>827.73730259059175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457.19429212836553</v>
          </cell>
          <cell r="BH29">
            <v>9.1449093434559252</v>
          </cell>
          <cell r="BI29">
            <v>51.575446686358902</v>
          </cell>
          <cell r="BJ29">
            <v>0.21659678357677359</v>
          </cell>
          <cell r="BK29">
            <v>0.61744978620183599</v>
          </cell>
          <cell r="BL29">
            <v>11.935140197088526</v>
          </cell>
          <cell r="BM29">
            <v>1.1960750770599491</v>
          </cell>
          <cell r="BN29">
            <v>1907.7823699495616</v>
          </cell>
        </row>
        <row r="30">
          <cell r="A30" t="str">
            <v>P26</v>
          </cell>
          <cell r="B30" t="str">
            <v>Tobacco products</v>
          </cell>
          <cell r="C30">
            <v>31161.470722741655</v>
          </cell>
          <cell r="E30">
            <v>0</v>
          </cell>
          <cell r="F30">
            <v>0</v>
          </cell>
          <cell r="G30">
            <v>0</v>
          </cell>
          <cell r="H30">
            <v>46.05490488616644</v>
          </cell>
          <cell r="I30">
            <v>67.668309401196524</v>
          </cell>
          <cell r="J30">
            <v>17.876474658951896</v>
          </cell>
          <cell r="K30">
            <v>3.9401676477492713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1447.9432140668457</v>
          </cell>
          <cell r="AT30">
            <v>160.99434679332393</v>
          </cell>
          <cell r="AU30">
            <v>4.4184468859404431</v>
          </cell>
          <cell r="AV30">
            <v>52.395767139879581</v>
          </cell>
          <cell r="AW30">
            <v>32.95601152096728</v>
          </cell>
          <cell r="AX30">
            <v>259.96050387861078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143.58717213799409</v>
          </cell>
          <cell r="BH30">
            <v>2.872064885089332</v>
          </cell>
          <cell r="BI30">
            <v>16.197867447060926</v>
          </cell>
          <cell r="BJ30">
            <v>6.802473299303996E-2</v>
          </cell>
          <cell r="BK30">
            <v>0.19391726945059864</v>
          </cell>
          <cell r="BL30">
            <v>3.748369258926092</v>
          </cell>
          <cell r="BM30">
            <v>0.37564125566894169</v>
          </cell>
          <cell r="BN30">
            <v>672.06865128913398</v>
          </cell>
        </row>
        <row r="31">
          <cell r="A31" t="str">
            <v>P27</v>
          </cell>
          <cell r="B31" t="str">
            <v>Textile fabrics</v>
          </cell>
          <cell r="C31">
            <v>15571.015113001687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198.90277288863953</v>
          </cell>
          <cell r="N31">
            <v>4948.1898331936609</v>
          </cell>
          <cell r="O31">
            <v>4524.5630131485723</v>
          </cell>
          <cell r="P31">
            <v>15.976456116394743</v>
          </cell>
          <cell r="Q31">
            <v>198.7593645186393</v>
          </cell>
          <cell r="R31">
            <v>47.630209373214264</v>
          </cell>
          <cell r="S31">
            <v>23.942138798931452</v>
          </cell>
          <cell r="T31">
            <v>336.48513772006805</v>
          </cell>
          <cell r="U31">
            <v>17.545706177487553</v>
          </cell>
          <cell r="V31">
            <v>0</v>
          </cell>
          <cell r="W31">
            <v>49.25658021296374</v>
          </cell>
          <cell r="X31">
            <v>690.25797441830878</v>
          </cell>
          <cell r="Y31">
            <v>3.6999575364519228</v>
          </cell>
          <cell r="Z31">
            <v>0</v>
          </cell>
          <cell r="AA31">
            <v>0.94997478801776036</v>
          </cell>
          <cell r="AB31">
            <v>0</v>
          </cell>
          <cell r="AC31">
            <v>0</v>
          </cell>
          <cell r="AD31">
            <v>13.874721248397993</v>
          </cell>
          <cell r="AE31">
            <v>36.811478463544027</v>
          </cell>
          <cell r="AF31">
            <v>8.8630089651766468</v>
          </cell>
          <cell r="AG31">
            <v>0</v>
          </cell>
          <cell r="AH31">
            <v>0</v>
          </cell>
          <cell r="AI31">
            <v>1034.9651707054716</v>
          </cell>
          <cell r="AJ31">
            <v>10.363908630298845</v>
          </cell>
          <cell r="AK31">
            <v>465.9905580733672</v>
          </cell>
          <cell r="AL31">
            <v>298.98472366706835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1.2563456469680918</v>
          </cell>
          <cell r="AU31">
            <v>3.4480071021607051E-2</v>
          </cell>
          <cell r="AV31">
            <v>0.40887891579352575</v>
          </cell>
          <cell r="AW31">
            <v>0.25717761176391124</v>
          </cell>
          <cell r="AX31">
            <v>2.0286441973692133</v>
          </cell>
          <cell r="AY31">
            <v>0.90593431434163696</v>
          </cell>
          <cell r="AZ31">
            <v>0.15608593607253324</v>
          </cell>
          <cell r="BA31">
            <v>5.5984917514110596E-2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14.178213722157397</v>
          </cell>
          <cell r="BH31">
            <v>8.2319563302446941</v>
          </cell>
          <cell r="BI31">
            <v>46.426575583145571</v>
          </cell>
          <cell r="BJ31">
            <v>0.19497353081486632</v>
          </cell>
          <cell r="BK31">
            <v>0.55580864557938203</v>
          </cell>
          <cell r="BL31">
            <v>10.743633338266804</v>
          </cell>
          <cell r="BM31">
            <v>1.0766687161417792</v>
          </cell>
          <cell r="BN31">
            <v>774.77192006426435</v>
          </cell>
        </row>
        <row r="32">
          <cell r="A32" t="str">
            <v>P28</v>
          </cell>
          <cell r="B32" t="str">
            <v>Made-up textile, articles</v>
          </cell>
          <cell r="C32">
            <v>14478.195447461445</v>
          </cell>
          <cell r="E32">
            <v>2005.4173578221159</v>
          </cell>
          <cell r="F32">
            <v>204.4395037756145</v>
          </cell>
          <cell r="G32">
            <v>19.114672425018924</v>
          </cell>
          <cell r="H32">
            <v>61.350003336542287</v>
          </cell>
          <cell r="I32">
            <v>160.78483863153602</v>
          </cell>
          <cell r="J32">
            <v>237.7050184964931</v>
          </cell>
          <cell r="K32">
            <v>41.775866276622466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1.1558460918814397</v>
          </cell>
          <cell r="AG32">
            <v>0</v>
          </cell>
          <cell r="AH32">
            <v>51.096879113573358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127.01397251684047</v>
          </cell>
          <cell r="AT32">
            <v>544.47821128659552</v>
          </cell>
          <cell r="AU32">
            <v>14.943059213191145</v>
          </cell>
          <cell r="AV32">
            <v>177.2009647514742</v>
          </cell>
          <cell r="AW32">
            <v>111.45627508966007</v>
          </cell>
          <cell r="AX32">
            <v>879.17888408027636</v>
          </cell>
          <cell r="AY32">
            <v>3.6438590863453344</v>
          </cell>
          <cell r="AZ32">
            <v>0.62781059002268103</v>
          </cell>
          <cell r="BA32">
            <v>0.2251831585939417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691.33596070503245</v>
          </cell>
          <cell r="BH32">
            <v>47.141360515767595</v>
          </cell>
          <cell r="BI32">
            <v>265.8677778739563</v>
          </cell>
          <cell r="BJ32">
            <v>1.1165410916243792</v>
          </cell>
          <cell r="BK32">
            <v>3.1829099533451153</v>
          </cell>
          <cell r="BL32">
            <v>61.524803112433936</v>
          </cell>
          <cell r="BM32">
            <v>6.1656823806521466</v>
          </cell>
          <cell r="BN32">
            <v>165.28876093498104</v>
          </cell>
        </row>
        <row r="33">
          <cell r="A33" t="str">
            <v>P29</v>
          </cell>
          <cell r="B33" t="str">
            <v>Carpets</v>
          </cell>
          <cell r="C33">
            <v>2873.8466038412962</v>
          </cell>
          <cell r="E33">
            <v>0</v>
          </cell>
          <cell r="F33">
            <v>0</v>
          </cell>
          <cell r="G33">
            <v>0</v>
          </cell>
          <cell r="H33">
            <v>29.824243665604552</v>
          </cell>
          <cell r="I33">
            <v>68.961188228260212</v>
          </cell>
          <cell r="J33">
            <v>135.56893970630298</v>
          </cell>
          <cell r="K33">
            <v>21.392340900527863</v>
          </cell>
          <cell r="L33">
            <v>0</v>
          </cell>
          <cell r="M33">
            <v>0</v>
          </cell>
          <cell r="N33">
            <v>151.26127283504454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1318.3779534765256</v>
          </cell>
          <cell r="AJ33">
            <v>3.4729313202812073</v>
          </cell>
          <cell r="AK33">
            <v>0</v>
          </cell>
          <cell r="AL33">
            <v>9.78887493594695</v>
          </cell>
          <cell r="AM33">
            <v>0</v>
          </cell>
          <cell r="AN33">
            <v>0</v>
          </cell>
          <cell r="AO33">
            <v>72.822489302497559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21.482795531340656</v>
          </cell>
          <cell r="AU33">
            <v>0.58958959061215632</v>
          </cell>
          <cell r="AV33">
            <v>6.9915967522683573</v>
          </cell>
          <cell r="AW33">
            <v>4.3975907920688133</v>
          </cell>
          <cell r="AX33">
            <v>34.688661200121224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42.095682039773244</v>
          </cell>
        </row>
        <row r="34">
          <cell r="A34" t="str">
            <v>P30</v>
          </cell>
          <cell r="B34" t="str">
            <v>Textile n.e.c.</v>
          </cell>
          <cell r="C34">
            <v>7061.0264893746335</v>
          </cell>
          <cell r="E34">
            <v>6.8008137942140943</v>
          </cell>
          <cell r="F34">
            <v>0</v>
          </cell>
          <cell r="G34">
            <v>0</v>
          </cell>
          <cell r="H34">
            <v>1.953171939640387</v>
          </cell>
          <cell r="I34">
            <v>7.1256228534447477</v>
          </cell>
          <cell r="J34">
            <v>8.4709456868698521</v>
          </cell>
          <cell r="K34">
            <v>1.8670877104134123</v>
          </cell>
          <cell r="L34">
            <v>0</v>
          </cell>
          <cell r="M34">
            <v>0</v>
          </cell>
          <cell r="N34">
            <v>195.17035732823823</v>
          </cell>
          <cell r="O34">
            <v>767.10734043487639</v>
          </cell>
          <cell r="P34">
            <v>5.4773213778330652</v>
          </cell>
          <cell r="Q34">
            <v>81.502000869574815</v>
          </cell>
          <cell r="R34">
            <v>0</v>
          </cell>
          <cell r="S34">
            <v>588.89822167733917</v>
          </cell>
          <cell r="T34">
            <v>0</v>
          </cell>
          <cell r="U34">
            <v>0</v>
          </cell>
          <cell r="V34">
            <v>0</v>
          </cell>
          <cell r="W34">
            <v>688.65359234796119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0.34246127962217454</v>
          </cell>
          <cell r="AE34">
            <v>92.275263031660415</v>
          </cell>
          <cell r="AF34">
            <v>30.347259274351426</v>
          </cell>
          <cell r="AG34">
            <v>44.346972668063366</v>
          </cell>
          <cell r="AH34">
            <v>0</v>
          </cell>
          <cell r="AI34">
            <v>407.18937099618483</v>
          </cell>
          <cell r="AJ34">
            <v>29.927837333304421</v>
          </cell>
          <cell r="AK34">
            <v>47.10878978897442</v>
          </cell>
          <cell r="AL34">
            <v>101.58113059565423</v>
          </cell>
          <cell r="AM34">
            <v>0</v>
          </cell>
          <cell r="AN34">
            <v>0</v>
          </cell>
          <cell r="AO34">
            <v>1346.9175133825449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8.9792712328790856</v>
          </cell>
          <cell r="AU34">
            <v>0.24643370284213162</v>
          </cell>
          <cell r="AV34">
            <v>2.9223125778927077</v>
          </cell>
          <cell r="AW34">
            <v>1.8380829643698187</v>
          </cell>
          <cell r="AX34">
            <v>14.498992794812606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26.079295251003419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1011.5988152147761</v>
          </cell>
        </row>
        <row r="35">
          <cell r="A35" t="str">
            <v>P31</v>
          </cell>
          <cell r="B35" t="str">
            <v>Knitting fabrics</v>
          </cell>
          <cell r="C35">
            <v>3477.626808559909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50.266054259475624</v>
          </cell>
          <cell r="O35">
            <v>1373.6998256671945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102.36908448073901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17.94592962465433</v>
          </cell>
          <cell r="BH35">
            <v>83.536435618693872</v>
          </cell>
          <cell r="BI35">
            <v>471.12867058693212</v>
          </cell>
          <cell r="BJ35">
            <v>1.9785568765014836</v>
          </cell>
          <cell r="BK35">
            <v>5.6402477461120748</v>
          </cell>
          <cell r="BL35">
            <v>109.02448927912472</v>
          </cell>
          <cell r="BM35">
            <v>10.925843539547213</v>
          </cell>
          <cell r="BN35">
            <v>383.46835606964504</v>
          </cell>
        </row>
        <row r="36">
          <cell r="A36" t="str">
            <v>P32</v>
          </cell>
          <cell r="B36" t="str">
            <v>Wearing apparel</v>
          </cell>
          <cell r="C36">
            <v>52758.713078324807</v>
          </cell>
          <cell r="E36">
            <v>0</v>
          </cell>
          <cell r="F36">
            <v>0</v>
          </cell>
          <cell r="G36">
            <v>0</v>
          </cell>
          <cell r="H36">
            <v>39.653662148459645</v>
          </cell>
          <cell r="I36">
            <v>72.27496130430761</v>
          </cell>
          <cell r="J36">
            <v>105.88769023261307</v>
          </cell>
          <cell r="K36">
            <v>18.541197639825874</v>
          </cell>
          <cell r="L36">
            <v>0</v>
          </cell>
          <cell r="M36">
            <v>0</v>
          </cell>
          <cell r="N36">
            <v>0</v>
          </cell>
          <cell r="O36">
            <v>1.2154654781276977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8.3530588958537599E-2</v>
          </cell>
          <cell r="AM36">
            <v>9.9335947584907167</v>
          </cell>
          <cell r="AN36">
            <v>0</v>
          </cell>
          <cell r="AO36">
            <v>0</v>
          </cell>
          <cell r="AP36">
            <v>392.48040472487997</v>
          </cell>
          <cell r="AQ36">
            <v>132.86988707990827</v>
          </cell>
          <cell r="AR36">
            <v>0</v>
          </cell>
          <cell r="AS36">
            <v>7.6025865981477896</v>
          </cell>
          <cell r="AT36">
            <v>33.32462677392931</v>
          </cell>
          <cell r="AU36">
            <v>0.91458548903843651</v>
          </cell>
          <cell r="AV36">
            <v>10.845532276432747</v>
          </cell>
          <cell r="AW36">
            <v>6.8216481247222536</v>
          </cell>
          <cell r="AX36">
            <v>53.809881777019989</v>
          </cell>
          <cell r="AY36">
            <v>0.39212418978873836</v>
          </cell>
          <cell r="AZ36">
            <v>6.7560164408098325E-2</v>
          </cell>
          <cell r="BA36">
            <v>2.423248581390133E-2</v>
          </cell>
          <cell r="BB36">
            <v>15.902153589949592</v>
          </cell>
          <cell r="BC36">
            <v>1.2927015627622582</v>
          </cell>
          <cell r="BD36">
            <v>4.8058974011059039</v>
          </cell>
          <cell r="BE36">
            <v>0.4777071282271752</v>
          </cell>
          <cell r="BF36">
            <v>17.121028145040839</v>
          </cell>
          <cell r="BG36">
            <v>187.14831688628777</v>
          </cell>
          <cell r="BH36">
            <v>4.410083252792961</v>
          </cell>
          <cell r="BI36">
            <v>24.871981246002168</v>
          </cell>
          <cell r="BJ36">
            <v>0.10445263173049264</v>
          </cell>
          <cell r="BK36">
            <v>0.29776183221738406</v>
          </cell>
          <cell r="BL36">
            <v>5.7556570465711046</v>
          </cell>
          <cell r="BM36">
            <v>0.57680076076420916</v>
          </cell>
          <cell r="BN36">
            <v>12.512104863958907</v>
          </cell>
        </row>
        <row r="37">
          <cell r="A37" t="str">
            <v>P33</v>
          </cell>
          <cell r="B37" t="str">
            <v>Leather products</v>
          </cell>
          <cell r="C37">
            <v>8847.5700513545107</v>
          </cell>
          <cell r="E37">
            <v>0</v>
          </cell>
          <cell r="F37">
            <v>0</v>
          </cell>
          <cell r="G37">
            <v>0</v>
          </cell>
          <cell r="H37">
            <v>39.302665585807951</v>
          </cell>
          <cell r="I37">
            <v>23.521188822838994</v>
          </cell>
          <cell r="J37">
            <v>55.63646943266474</v>
          </cell>
          <cell r="K37">
            <v>8.206766325038668</v>
          </cell>
          <cell r="L37">
            <v>0</v>
          </cell>
          <cell r="M37">
            <v>0</v>
          </cell>
          <cell r="N37">
            <v>27.29997293372357</v>
          </cell>
          <cell r="O37">
            <v>0</v>
          </cell>
          <cell r="P37">
            <v>252.79518458449033</v>
          </cell>
          <cell r="Q37">
            <v>1089.8617522032011</v>
          </cell>
          <cell r="R37">
            <v>0</v>
          </cell>
          <cell r="S37">
            <v>32.551711440015161</v>
          </cell>
          <cell r="T37">
            <v>1.2329246158301701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4375.841224096248</v>
          </cell>
          <cell r="AJ37">
            <v>0</v>
          </cell>
          <cell r="AK37">
            <v>375.47352550079859</v>
          </cell>
          <cell r="AL37">
            <v>22.260000204862351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53.677123102216854</v>
          </cell>
          <cell r="BH37">
            <v>16.205757593372152</v>
          </cell>
          <cell r="BI37">
            <v>91.39720858656014</v>
          </cell>
          <cell r="BJ37">
            <v>0.38383266999372845</v>
          </cell>
          <cell r="BK37">
            <v>1.0941870701459508</v>
          </cell>
          <cell r="BL37">
            <v>21.150345138778011</v>
          </cell>
          <cell r="BM37">
            <v>2.1195729814618733</v>
          </cell>
          <cell r="BN37">
            <v>68.614281424669244</v>
          </cell>
        </row>
        <row r="38">
          <cell r="A38" t="str">
            <v>P34</v>
          </cell>
          <cell r="B38" t="str">
            <v>Footwear</v>
          </cell>
          <cell r="C38">
            <v>17027.461503269424</v>
          </cell>
          <cell r="E38">
            <v>0</v>
          </cell>
          <cell r="F38">
            <v>0</v>
          </cell>
          <cell r="G38">
            <v>0</v>
          </cell>
          <cell r="H38">
            <v>37.75742846391929</v>
          </cell>
          <cell r="I38">
            <v>101.63943078615324</v>
          </cell>
          <cell r="J38">
            <v>329.95594112364529</v>
          </cell>
          <cell r="K38">
            <v>57.881894778065799</v>
          </cell>
          <cell r="L38">
            <v>0</v>
          </cell>
          <cell r="M38">
            <v>0</v>
          </cell>
          <cell r="N38">
            <v>0</v>
          </cell>
          <cell r="O38">
            <v>1.3926053721575509</v>
          </cell>
          <cell r="P38">
            <v>3.5403305359090407</v>
          </cell>
          <cell r="Q38">
            <v>607.39515357537709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0.24790748094864298</v>
          </cell>
          <cell r="AM38">
            <v>0</v>
          </cell>
          <cell r="AN38">
            <v>10.799593784505795</v>
          </cell>
          <cell r="AO38">
            <v>286.63292577845726</v>
          </cell>
          <cell r="AP38">
            <v>107.54736549854928</v>
          </cell>
          <cell r="AQ38">
            <v>36.408967524253043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247.70211896508698</v>
          </cell>
          <cell r="BH38">
            <v>44.337875827060408</v>
          </cell>
          <cell r="BI38">
            <v>250.05668892074038</v>
          </cell>
          <cell r="BJ38">
            <v>1.0501406776262701</v>
          </cell>
          <cell r="BK38">
            <v>2.9936231100697124</v>
          </cell>
          <cell r="BL38">
            <v>57.86593876031661</v>
          </cell>
          <cell r="BM38">
            <v>5.7990108217392615</v>
          </cell>
          <cell r="BN38">
            <v>119.18670467147088</v>
          </cell>
        </row>
        <row r="39">
          <cell r="A39" t="str">
            <v>P35</v>
          </cell>
          <cell r="B39" t="str">
            <v>Wood products</v>
          </cell>
          <cell r="C39">
            <v>33831.426875764831</v>
          </cell>
          <cell r="E39">
            <v>379.55588914470076</v>
          </cell>
          <cell r="F39">
            <v>27.130854161361832</v>
          </cell>
          <cell r="G39">
            <v>1.2146531576875899</v>
          </cell>
          <cell r="H39">
            <v>68.553893388164084</v>
          </cell>
          <cell r="I39">
            <v>1873.278384259263</v>
          </cell>
          <cell r="J39">
            <v>382.52851538862677</v>
          </cell>
          <cell r="K39">
            <v>76.453291972071426</v>
          </cell>
          <cell r="L39">
            <v>2705.4419720734918</v>
          </cell>
          <cell r="M39">
            <v>1321.0184395232955</v>
          </cell>
          <cell r="N39">
            <v>118.01884303907761</v>
          </cell>
          <cell r="O39">
            <v>37.847176512545445</v>
          </cell>
          <cell r="P39">
            <v>5.3448032714112035</v>
          </cell>
          <cell r="Q39">
            <v>32.200634377415668</v>
          </cell>
          <cell r="R39">
            <v>5488.1610640042509</v>
          </cell>
          <cell r="S39">
            <v>837.81098068196206</v>
          </cell>
          <cell r="T39">
            <v>52.681582841301228</v>
          </cell>
          <cell r="U39">
            <v>632.87954418176719</v>
          </cell>
          <cell r="V39">
            <v>356.32827330111331</v>
          </cell>
          <cell r="W39">
            <v>1600.1628130698514</v>
          </cell>
          <cell r="X39">
            <v>10.077810394812479</v>
          </cell>
          <cell r="Y39">
            <v>83.439401052300013</v>
          </cell>
          <cell r="Z39">
            <v>52.777323124161548</v>
          </cell>
          <cell r="AA39">
            <v>324.75723181909802</v>
          </cell>
          <cell r="AB39">
            <v>315.48885706361466</v>
          </cell>
          <cell r="AC39">
            <v>40.434307782231492</v>
          </cell>
          <cell r="AD39">
            <v>345.81927276654392</v>
          </cell>
          <cell r="AE39">
            <v>138.4212663901337</v>
          </cell>
          <cell r="AF39">
            <v>58.593844706938064</v>
          </cell>
          <cell r="AG39">
            <v>68.470055096361833</v>
          </cell>
          <cell r="AH39">
            <v>5.7922216603523511</v>
          </cell>
          <cell r="AI39">
            <v>925.42903840769429</v>
          </cell>
          <cell r="AJ39">
            <v>146.97169952429158</v>
          </cell>
          <cell r="AK39">
            <v>3306.4438383290371</v>
          </cell>
          <cell r="AL39">
            <v>145.41802832071025</v>
          </cell>
          <cell r="AM39">
            <v>112.98504956217491</v>
          </cell>
          <cell r="AN39">
            <v>28.912799569260017</v>
          </cell>
          <cell r="AO39">
            <v>1973.7252526715401</v>
          </cell>
          <cell r="AP39">
            <v>923.73701538212197</v>
          </cell>
          <cell r="AQ39">
            <v>578.12399879488873</v>
          </cell>
          <cell r="AR39">
            <v>13.492535585267641</v>
          </cell>
          <cell r="AS39">
            <v>53.209166788928528</v>
          </cell>
          <cell r="AT39">
            <v>496.12051839447747</v>
          </cell>
          <cell r="AU39">
            <v>8.5744017772780072</v>
          </cell>
          <cell r="AV39">
            <v>102.72364147694159</v>
          </cell>
          <cell r="AW39">
            <v>96.003014540469508</v>
          </cell>
          <cell r="AX39">
            <v>656.61703090509798</v>
          </cell>
          <cell r="AY39">
            <v>0</v>
          </cell>
          <cell r="AZ39">
            <v>0</v>
          </cell>
          <cell r="BA39">
            <v>0</v>
          </cell>
          <cell r="BB39">
            <v>336.37835735586668</v>
          </cell>
          <cell r="BC39">
            <v>0.47552798159798249</v>
          </cell>
          <cell r="BD39">
            <v>0.28681427967994388</v>
          </cell>
          <cell r="BE39">
            <v>0.26693981588650195</v>
          </cell>
          <cell r="BF39">
            <v>54.374681360164516</v>
          </cell>
          <cell r="BG39">
            <v>546.3527086394713</v>
          </cell>
          <cell r="BH39">
            <v>110.48795794534919</v>
          </cell>
          <cell r="BI39">
            <v>493.50178264666101</v>
          </cell>
          <cell r="BJ39">
            <v>2.6774423398293394</v>
          </cell>
          <cell r="BK39">
            <v>5.8520798045242524</v>
          </cell>
          <cell r="BL39">
            <v>107.3500152114032</v>
          </cell>
          <cell r="BM39">
            <v>12.121245774565889</v>
          </cell>
          <cell r="BN39">
            <v>1204.7952905445559</v>
          </cell>
        </row>
        <row r="40">
          <cell r="A40" t="str">
            <v>P36</v>
          </cell>
          <cell r="B40" t="str">
            <v>Paper products</v>
          </cell>
          <cell r="C40">
            <v>67904.456210125703</v>
          </cell>
          <cell r="E40">
            <v>26.724229121520114</v>
          </cell>
          <cell r="F40">
            <v>11.507053967709846</v>
          </cell>
          <cell r="G40">
            <v>2.3182778210718897</v>
          </cell>
          <cell r="H40">
            <v>21.838324763813795</v>
          </cell>
          <cell r="I40">
            <v>32.250676005626239</v>
          </cell>
          <cell r="J40">
            <v>98.416731492092893</v>
          </cell>
          <cell r="K40">
            <v>26.167444963845728</v>
          </cell>
          <cell r="L40">
            <v>2908.4913560120053</v>
          </cell>
          <cell r="M40">
            <v>1325.8848893675656</v>
          </cell>
          <cell r="N40">
            <v>170.23363573191929</v>
          </cell>
          <cell r="O40">
            <v>72.640240085332621</v>
          </cell>
          <cell r="P40">
            <v>12.994072613775192</v>
          </cell>
          <cell r="Q40">
            <v>62.911473321902477</v>
          </cell>
          <cell r="R40">
            <v>222.62486916838736</v>
          </cell>
          <cell r="S40">
            <v>13695.176835416847</v>
          </cell>
          <cell r="T40">
            <v>5631.8714208813326</v>
          </cell>
          <cell r="U40">
            <v>121.82701294436048</v>
          </cell>
          <cell r="V40">
            <v>252.35329301023353</v>
          </cell>
          <cell r="W40">
            <v>2485.3670640255086</v>
          </cell>
          <cell r="X40">
            <v>13.292361366071079</v>
          </cell>
          <cell r="Y40">
            <v>277.74014709336979</v>
          </cell>
          <cell r="Z40">
            <v>33.575475678190848</v>
          </cell>
          <cell r="AA40">
            <v>285.58851392020938</v>
          </cell>
          <cell r="AB40">
            <v>88.682022737308102</v>
          </cell>
          <cell r="AC40">
            <v>31.317105046384551</v>
          </cell>
          <cell r="AD40">
            <v>86.868761349337831</v>
          </cell>
          <cell r="AE40">
            <v>167.7264878492889</v>
          </cell>
          <cell r="AF40">
            <v>108.16088356085339</v>
          </cell>
          <cell r="AG40">
            <v>30.460579837557937</v>
          </cell>
          <cell r="AH40">
            <v>25.159312756785461</v>
          </cell>
          <cell r="AI40">
            <v>900.54283270946576</v>
          </cell>
          <cell r="AJ40">
            <v>5.3183702678646601</v>
          </cell>
          <cell r="AK40">
            <v>122.27444358995366</v>
          </cell>
          <cell r="AL40">
            <v>414.54496406027766</v>
          </cell>
          <cell r="AM40">
            <v>42.097411931204697</v>
          </cell>
          <cell r="AN40">
            <v>6.1095904842562572</v>
          </cell>
          <cell r="AO40">
            <v>268.07086274229073</v>
          </cell>
          <cell r="AP40">
            <v>8290.5472127472058</v>
          </cell>
          <cell r="AQ40">
            <v>3061.2408979237343</v>
          </cell>
          <cell r="AR40">
            <v>78.800999777480556</v>
          </cell>
          <cell r="AS40">
            <v>42.901375594307083</v>
          </cell>
          <cell r="AT40">
            <v>640.64238540735721</v>
          </cell>
          <cell r="AU40">
            <v>13.730695255252257</v>
          </cell>
          <cell r="AV40">
            <v>172.46281066484531</v>
          </cell>
          <cell r="AW40">
            <v>127.56235962880436</v>
          </cell>
          <cell r="AX40">
            <v>889.76646543272921</v>
          </cell>
          <cell r="AY40">
            <v>74.908292374498131</v>
          </cell>
          <cell r="AZ40">
            <v>12.906157488212013</v>
          </cell>
          <cell r="BA40">
            <v>4.6291817224704994</v>
          </cell>
          <cell r="BB40">
            <v>2037.8468411135791</v>
          </cell>
          <cell r="BC40">
            <v>146.22054479935326</v>
          </cell>
          <cell r="BD40">
            <v>536.89127373990425</v>
          </cell>
          <cell r="BE40">
            <v>54.98755463655862</v>
          </cell>
          <cell r="BF40">
            <v>2071.9832018294578</v>
          </cell>
          <cell r="BG40">
            <v>853.99265431491426</v>
          </cell>
          <cell r="BH40">
            <v>225.44774526257493</v>
          </cell>
          <cell r="BI40">
            <v>1160.2294025377848</v>
          </cell>
          <cell r="BJ40">
            <v>4.8045928584141935</v>
          </cell>
          <cell r="BK40">
            <v>16.05464218414572</v>
          </cell>
          <cell r="BL40">
            <v>253.68317617079072</v>
          </cell>
          <cell r="BM40">
            <v>26.973693217286336</v>
          </cell>
          <cell r="BN40">
            <v>607.92030191618028</v>
          </cell>
        </row>
        <row r="41">
          <cell r="A41" t="str">
            <v>P37</v>
          </cell>
          <cell r="B41" t="str">
            <v>Printing</v>
          </cell>
          <cell r="C41">
            <v>34032.117804961505</v>
          </cell>
          <cell r="E41">
            <v>5.138708705526005</v>
          </cell>
          <cell r="F41">
            <v>2.2126512285891176</v>
          </cell>
          <cell r="G41">
            <v>0.69342551840709266</v>
          </cell>
          <cell r="H41">
            <v>3.0398734784622565</v>
          </cell>
          <cell r="I41">
            <v>4.576514826413435</v>
          </cell>
          <cell r="J41">
            <v>12.875195188528631</v>
          </cell>
          <cell r="K41">
            <v>1.9244388945437829</v>
          </cell>
          <cell r="L41">
            <v>63.059450837695195</v>
          </cell>
          <cell r="M41">
            <v>3.7620915867593481</v>
          </cell>
          <cell r="N41">
            <v>16.575832426760428</v>
          </cell>
          <cell r="O41">
            <v>4.0352319672473005</v>
          </cell>
          <cell r="P41">
            <v>0.63221738184557708</v>
          </cell>
          <cell r="Q41">
            <v>2.7823904871619765</v>
          </cell>
          <cell r="R41">
            <v>6.3090829020191492</v>
          </cell>
          <cell r="S41">
            <v>112.63356729687422</v>
          </cell>
          <cell r="T41">
            <v>1306.046194325354</v>
          </cell>
          <cell r="U41">
            <v>7.8416371359732953</v>
          </cell>
          <cell r="V41">
            <v>9.730494024049225</v>
          </cell>
          <cell r="W41">
            <v>85.655180713411397</v>
          </cell>
          <cell r="X41">
            <v>3.4051630030437408</v>
          </cell>
          <cell r="Y41">
            <v>31.648927085816293</v>
          </cell>
          <cell r="Z41">
            <v>1.4888805623893939</v>
          </cell>
          <cell r="AA41">
            <v>5.7464695736282128</v>
          </cell>
          <cell r="AB41">
            <v>8.6033497027594166</v>
          </cell>
          <cell r="AC41">
            <v>3.7128344484903568</v>
          </cell>
          <cell r="AD41">
            <v>13.699283870919565</v>
          </cell>
          <cell r="AE41">
            <v>22.035011587884316</v>
          </cell>
          <cell r="AF41">
            <v>10.687120583045996</v>
          </cell>
          <cell r="AG41">
            <v>2.3324356053028605</v>
          </cell>
          <cell r="AH41">
            <v>2.6723380860065227</v>
          </cell>
          <cell r="AI41">
            <v>31.95356021188406</v>
          </cell>
          <cell r="AJ41">
            <v>2.2159069635913116</v>
          </cell>
          <cell r="AK41">
            <v>5.0695209442580387</v>
          </cell>
          <cell r="AL41">
            <v>4.4886078266988054</v>
          </cell>
          <cell r="AM41">
            <v>28.776495506041343</v>
          </cell>
          <cell r="AN41">
            <v>3.6549078892033919</v>
          </cell>
          <cell r="AO41">
            <v>48.354234356946741</v>
          </cell>
          <cell r="AP41">
            <v>7520.6465052400645</v>
          </cell>
          <cell r="AQ41">
            <v>2659.870951191509</v>
          </cell>
          <cell r="AR41">
            <v>41.149740843614893</v>
          </cell>
          <cell r="AS41">
            <v>95.78420906130188</v>
          </cell>
          <cell r="AT41">
            <v>135.60884798125335</v>
          </cell>
          <cell r="AU41">
            <v>3.1659506272428954</v>
          </cell>
          <cell r="AV41">
            <v>41.765063783702928</v>
          </cell>
          <cell r="AW41">
            <v>32.996341893592245</v>
          </cell>
          <cell r="AX41">
            <v>238.2526628695133</v>
          </cell>
          <cell r="AY41">
            <v>189.75696725415671</v>
          </cell>
          <cell r="AZ41">
            <v>32.693754272542847</v>
          </cell>
          <cell r="BA41">
            <v>11.726598707293849</v>
          </cell>
          <cell r="BB41">
            <v>2582.0742616430639</v>
          </cell>
          <cell r="BC41">
            <v>210.01643934057614</v>
          </cell>
          <cell r="BD41">
            <v>777.96337926953504</v>
          </cell>
          <cell r="BE41">
            <v>81.829335195239082</v>
          </cell>
          <cell r="BF41">
            <v>2913.0199974181305</v>
          </cell>
          <cell r="BG41">
            <v>1188.2078804619491</v>
          </cell>
          <cell r="BH41">
            <v>326.80135819087633</v>
          </cell>
          <cell r="BI41">
            <v>1663.7967934718481</v>
          </cell>
          <cell r="BJ41">
            <v>5.6063488198737961</v>
          </cell>
          <cell r="BK41">
            <v>30.797121858595677</v>
          </cell>
          <cell r="BL41">
            <v>316.03035597501008</v>
          </cell>
          <cell r="BM41">
            <v>35.894945981505629</v>
          </cell>
          <cell r="BN41">
            <v>520.36193401585194</v>
          </cell>
        </row>
        <row r="42">
          <cell r="A42" t="str">
            <v>P38</v>
          </cell>
          <cell r="B42" t="str">
            <v>Petroleum products</v>
          </cell>
          <cell r="C42">
            <v>166317.16145481891</v>
          </cell>
          <cell r="E42">
            <v>5710.7468617803115</v>
          </cell>
          <cell r="F42">
            <v>579.32198318039741</v>
          </cell>
          <cell r="G42">
            <v>55.389489037436825</v>
          </cell>
          <cell r="H42">
            <v>769.86972327051137</v>
          </cell>
          <cell r="I42">
            <v>412.15453350169082</v>
          </cell>
          <cell r="J42">
            <v>3371.8676439355604</v>
          </cell>
          <cell r="K42">
            <v>590.36271785293081</v>
          </cell>
          <cell r="L42">
            <v>25.444933641233231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13.579951069874449</v>
          </cell>
          <cell r="S42">
            <v>237.15059893343499</v>
          </cell>
          <cell r="T42">
            <v>33.055018996999472</v>
          </cell>
          <cell r="U42">
            <v>572.97900016139329</v>
          </cell>
          <cell r="V42">
            <v>5132.0510808780873</v>
          </cell>
          <cell r="W42">
            <v>1242.4870988455375</v>
          </cell>
          <cell r="X42">
            <v>204.74463425389141</v>
          </cell>
          <cell r="Y42">
            <v>67.327000995516386</v>
          </cell>
          <cell r="Z42">
            <v>0</v>
          </cell>
          <cell r="AA42">
            <v>36.683930888712212</v>
          </cell>
          <cell r="AB42">
            <v>8352.9736402381131</v>
          </cell>
          <cell r="AC42">
            <v>707.3185154449294</v>
          </cell>
          <cell r="AD42">
            <v>3.0769732446339604</v>
          </cell>
          <cell r="AE42">
            <v>24.1895529590481</v>
          </cell>
          <cell r="AF42">
            <v>845.99448319396413</v>
          </cell>
          <cell r="AG42">
            <v>0</v>
          </cell>
          <cell r="AH42">
            <v>0</v>
          </cell>
          <cell r="AI42">
            <v>27.651315477227442</v>
          </cell>
          <cell r="AJ42">
            <v>0</v>
          </cell>
          <cell r="AK42">
            <v>0</v>
          </cell>
          <cell r="AL42">
            <v>44.272568298575685</v>
          </cell>
          <cell r="AM42">
            <v>1148.1950222033247</v>
          </cell>
          <cell r="AN42">
            <v>121.43566985265628</v>
          </cell>
          <cell r="AO42">
            <v>6128.9476169607296</v>
          </cell>
          <cell r="AP42">
            <v>6628.0671720942537</v>
          </cell>
          <cell r="AQ42">
            <v>2243.8586133530471</v>
          </cell>
          <cell r="AR42">
            <v>0</v>
          </cell>
          <cell r="AS42">
            <v>150.82835778256</v>
          </cell>
          <cell r="AT42">
            <v>13068.60000443225</v>
          </cell>
          <cell r="AU42">
            <v>358.66423972832121</v>
          </cell>
          <cell r="AV42">
            <v>4253.1886138554746</v>
          </cell>
          <cell r="AW42">
            <v>2675.1804699197423</v>
          </cell>
          <cell r="AX42">
            <v>21102.106439187854</v>
          </cell>
          <cell r="AY42">
            <v>197.41526335811298</v>
          </cell>
          <cell r="AZ42">
            <v>34.013223352346174</v>
          </cell>
          <cell r="BA42">
            <v>12.199865994878831</v>
          </cell>
          <cell r="BB42">
            <v>3448.481533454315</v>
          </cell>
          <cell r="BC42">
            <v>280.33042457033082</v>
          </cell>
          <cell r="BD42">
            <v>1042.1889303008718</v>
          </cell>
          <cell r="BE42">
            <v>103.59378060164494</v>
          </cell>
          <cell r="BF42">
            <v>3712.8021093469988</v>
          </cell>
          <cell r="BG42">
            <v>3800.0206052609278</v>
          </cell>
          <cell r="BH42">
            <v>176.15288753717567</v>
          </cell>
          <cell r="BI42">
            <v>993.46680416499601</v>
          </cell>
          <cell r="BJ42">
            <v>4.1721735476378656</v>
          </cell>
          <cell r="BK42">
            <v>11.89356380295861</v>
          </cell>
          <cell r="BL42">
            <v>229.89942599951905</v>
          </cell>
          <cell r="BM42">
            <v>23.039274707094979</v>
          </cell>
          <cell r="BN42">
            <v>3019.1253680284294</v>
          </cell>
        </row>
        <row r="43">
          <cell r="A43" t="str">
            <v>P39</v>
          </cell>
          <cell r="B43" t="str">
            <v xml:space="preserve">Basic chemicals </v>
          </cell>
          <cell r="C43">
            <v>83233.859329757237</v>
          </cell>
          <cell r="E43">
            <v>0</v>
          </cell>
          <cell r="F43">
            <v>0</v>
          </cell>
          <cell r="G43">
            <v>0</v>
          </cell>
          <cell r="H43">
            <v>57.158060492815011</v>
          </cell>
          <cell r="I43">
            <v>384.76380558362717</v>
          </cell>
          <cell r="J43">
            <v>442.96824922609579</v>
          </cell>
          <cell r="K43">
            <v>77.795635441904551</v>
          </cell>
          <cell r="L43">
            <v>1139.0395852636855</v>
          </cell>
          <cell r="M43">
            <v>659.06522733813756</v>
          </cell>
          <cell r="N43">
            <v>951.15899770579051</v>
          </cell>
          <cell r="O43">
            <v>137.06116605471692</v>
          </cell>
          <cell r="P43">
            <v>139.32483855888475</v>
          </cell>
          <cell r="Q43">
            <v>232.1356374732155</v>
          </cell>
          <cell r="R43">
            <v>123.39904593733897</v>
          </cell>
          <cell r="S43">
            <v>1615.5036233439605</v>
          </cell>
          <cell r="T43">
            <v>86.334923357937853</v>
          </cell>
          <cell r="U43">
            <v>944.42655686358148</v>
          </cell>
          <cell r="V43">
            <v>26804.625038626837</v>
          </cell>
          <cell r="W43">
            <v>9509.0288613091907</v>
          </cell>
          <cell r="X43">
            <v>2153.1349199822366</v>
          </cell>
          <cell r="Y43">
            <v>7469.1891710579403</v>
          </cell>
          <cell r="Z43">
            <v>47.854123169954825</v>
          </cell>
          <cell r="AA43">
            <v>153.18928641237449</v>
          </cell>
          <cell r="AB43">
            <v>674.95929926876772</v>
          </cell>
          <cell r="AC43">
            <v>3474.7182010361507</v>
          </cell>
          <cell r="AD43">
            <v>116.02052442969971</v>
          </cell>
          <cell r="AE43">
            <v>429.73081448222331</v>
          </cell>
          <cell r="AF43">
            <v>545.99429163036837</v>
          </cell>
          <cell r="AG43">
            <v>61.416498448961157</v>
          </cell>
          <cell r="AH43">
            <v>65.906659083987705</v>
          </cell>
          <cell r="AI43">
            <v>968.1666385568883</v>
          </cell>
          <cell r="AJ43">
            <v>16.57976080333491</v>
          </cell>
          <cell r="AK43">
            <v>289.48739512300267</v>
          </cell>
          <cell r="AL43">
            <v>440.27250331438654</v>
          </cell>
          <cell r="AM43">
            <v>34.881645437082895</v>
          </cell>
          <cell r="AN43">
            <v>96.898220324634011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31.714225869765926</v>
          </cell>
          <cell r="AU43">
            <v>0.87038846596377051</v>
          </cell>
          <cell r="AV43">
            <v>10.321425731966842</v>
          </cell>
          <cell r="AW43">
            <v>6.4919943709844912</v>
          </cell>
          <cell r="AX43">
            <v>51.209538107622102</v>
          </cell>
          <cell r="AY43">
            <v>0.32699563769636675</v>
          </cell>
          <cell r="AZ43">
            <v>5.6338985502015985E-2</v>
          </cell>
          <cell r="BA43">
            <v>2.020767236000881E-2</v>
          </cell>
          <cell r="BB43">
            <v>3.2239168400482239</v>
          </cell>
          <cell r="BC43">
            <v>0.2620753417939472</v>
          </cell>
          <cell r="BD43">
            <v>0.97432171531544576</v>
          </cell>
          <cell r="BE43">
            <v>9.6847766347573305E-2</v>
          </cell>
          <cell r="BF43">
            <v>3.4710248925417169</v>
          </cell>
          <cell r="BG43">
            <v>107.15723391374014</v>
          </cell>
          <cell r="BH43">
            <v>83.06248890863327</v>
          </cell>
          <cell r="BI43">
            <v>468.45570660676742</v>
          </cell>
          <cell r="BJ43">
            <v>1.9673314691047932</v>
          </cell>
          <cell r="BK43">
            <v>5.6082476153499758</v>
          </cell>
          <cell r="BL43">
            <v>108.40593525982499</v>
          </cell>
          <cell r="BM43">
            <v>10.863855407520042</v>
          </cell>
          <cell r="BN43">
            <v>326.80134994336964</v>
          </cell>
        </row>
        <row r="44">
          <cell r="A44" t="str">
            <v>P40</v>
          </cell>
          <cell r="B44" t="str">
            <v>Fertilizers, pesticides</v>
          </cell>
          <cell r="C44">
            <v>26203.99804209288</v>
          </cell>
          <cell r="E44">
            <v>12139.82696184164</v>
          </cell>
          <cell r="F44">
            <v>1232.9761425257104</v>
          </cell>
          <cell r="G44">
            <v>113.83876132833551</v>
          </cell>
          <cell r="H44">
            <v>130.57411936938399</v>
          </cell>
          <cell r="I44">
            <v>152.25827100184873</v>
          </cell>
          <cell r="J44">
            <v>891.61164412533287</v>
          </cell>
          <cell r="K44">
            <v>156.59980252329564</v>
          </cell>
          <cell r="L44">
            <v>0.26083613972590319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2425.257673106637</v>
          </cell>
          <cell r="W44">
            <v>3025.4810401691439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0.58393461629752896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32.381717275481584</v>
          </cell>
          <cell r="AN44">
            <v>242.08780280125995</v>
          </cell>
          <cell r="AO44">
            <v>0</v>
          </cell>
          <cell r="AP44">
            <v>189.68606277689611</v>
          </cell>
          <cell r="AQ44">
            <v>64.216112290919725</v>
          </cell>
          <cell r="AR44">
            <v>0</v>
          </cell>
          <cell r="AS44">
            <v>292.34943802452187</v>
          </cell>
          <cell r="AT44">
            <v>8.5316196599961049</v>
          </cell>
          <cell r="AU44">
            <v>0.23414802488146363</v>
          </cell>
          <cell r="AV44">
            <v>2.7766239370195844</v>
          </cell>
          <cell r="AW44">
            <v>1.7464473840705366</v>
          </cell>
          <cell r="AX44">
            <v>13.776161647218824</v>
          </cell>
          <cell r="AY44">
            <v>0</v>
          </cell>
          <cell r="AZ44">
            <v>0</v>
          </cell>
          <cell r="BA44">
            <v>0</v>
          </cell>
          <cell r="BB44">
            <v>100.87321238553703</v>
          </cell>
          <cell r="BC44">
            <v>8.2000817407554045</v>
          </cell>
          <cell r="BD44">
            <v>30.485575837429383</v>
          </cell>
          <cell r="BE44">
            <v>3.0302721157340615</v>
          </cell>
          <cell r="BF44">
            <v>108.60498224749847</v>
          </cell>
          <cell r="BG44">
            <v>123.66583009554184</v>
          </cell>
          <cell r="BH44">
            <v>84.365707856447187</v>
          </cell>
          <cell r="BI44">
            <v>475.80559897193814</v>
          </cell>
          <cell r="BJ44">
            <v>1.9981981537039986</v>
          </cell>
          <cell r="BK44">
            <v>5.6962388933911994</v>
          </cell>
          <cell r="BL44">
            <v>110.10678326886446</v>
          </cell>
          <cell r="BM44">
            <v>11.034305178522867</v>
          </cell>
          <cell r="BN44">
            <v>250.44304292872022</v>
          </cell>
        </row>
        <row r="45">
          <cell r="A45" t="str">
            <v>P41</v>
          </cell>
          <cell r="B45" t="str">
            <v>Paint, related products</v>
          </cell>
          <cell r="C45">
            <v>27542.873435902453</v>
          </cell>
          <cell r="E45">
            <v>217.41851101717205</v>
          </cell>
          <cell r="F45">
            <v>22.632720961702802</v>
          </cell>
          <cell r="G45">
            <v>1.9344263318451427</v>
          </cell>
          <cell r="H45">
            <v>74.178768599220987</v>
          </cell>
          <cell r="I45">
            <v>152.07693646732653</v>
          </cell>
          <cell r="J45">
            <v>540.65776125159118</v>
          </cell>
          <cell r="K45">
            <v>95.142244980441802</v>
          </cell>
          <cell r="L45">
            <v>4.7540772849886661E-3</v>
          </cell>
          <cell r="M45">
            <v>0</v>
          </cell>
          <cell r="N45">
            <v>169.49345339629031</v>
          </cell>
          <cell r="O45">
            <v>27.264880957034151</v>
          </cell>
          <cell r="P45">
            <v>0.65107801644498808</v>
          </cell>
          <cell r="Q45">
            <v>1.4292829585146642</v>
          </cell>
          <cell r="R45">
            <v>237.04550438394926</v>
          </cell>
          <cell r="S45">
            <v>1317.786594877721</v>
          </cell>
          <cell r="T45">
            <v>1722.8677713252157</v>
          </cell>
          <cell r="U45">
            <v>0.71457530590990914</v>
          </cell>
          <cell r="V45">
            <v>21.096767271988938</v>
          </cell>
          <cell r="W45">
            <v>689.4350880433841</v>
          </cell>
          <cell r="X45">
            <v>354.07422671423114</v>
          </cell>
          <cell r="Y45">
            <v>373.79785324546015</v>
          </cell>
          <cell r="Z45">
            <v>6.554486619260925</v>
          </cell>
          <cell r="AA45">
            <v>396.74176326149819</v>
          </cell>
          <cell r="AB45">
            <v>627.86192220396697</v>
          </cell>
          <cell r="AC45">
            <v>15.986883837841965</v>
          </cell>
          <cell r="AD45">
            <v>699.64933587564576</v>
          </cell>
          <cell r="AE45">
            <v>157.3485982364833</v>
          </cell>
          <cell r="AF45">
            <v>72.717957790522192</v>
          </cell>
          <cell r="AG45">
            <v>1.6272234647225121</v>
          </cell>
          <cell r="AH45">
            <v>0</v>
          </cell>
          <cell r="AI45">
            <v>2094.0461914371595</v>
          </cell>
          <cell r="AJ45">
            <v>8.9621500966728878</v>
          </cell>
          <cell r="AK45">
            <v>197.55612648020974</v>
          </cell>
          <cell r="AL45">
            <v>31.703146929034613</v>
          </cell>
          <cell r="AM45">
            <v>197.74569557129431</v>
          </cell>
          <cell r="AN45">
            <v>54.355218803490374</v>
          </cell>
          <cell r="AO45">
            <v>3307.7755654639377</v>
          </cell>
          <cell r="AP45">
            <v>540.10165903466032</v>
          </cell>
          <cell r="AQ45">
            <v>182.84542510577344</v>
          </cell>
          <cell r="AR45">
            <v>0</v>
          </cell>
          <cell r="AS45">
            <v>289.55538689434087</v>
          </cell>
          <cell r="AT45">
            <v>877.23553359188418</v>
          </cell>
          <cell r="AU45">
            <v>24.07549512661598</v>
          </cell>
          <cell r="AV45">
            <v>285.49715974756532</v>
          </cell>
          <cell r="AW45">
            <v>179.57266778298523</v>
          </cell>
          <cell r="AX45">
            <v>1416.4881927532697</v>
          </cell>
          <cell r="AY45">
            <v>37.337216770167103</v>
          </cell>
          <cell r="AZ45">
            <v>6.4329326504756619</v>
          </cell>
          <cell r="BA45">
            <v>2.3073648585696289</v>
          </cell>
          <cell r="BB45">
            <v>696.25564768671586</v>
          </cell>
          <cell r="BC45">
            <v>56.59930013602154</v>
          </cell>
          <cell r="BD45">
            <v>210.42012887095507</v>
          </cell>
          <cell r="BE45">
            <v>20.915801377907975</v>
          </cell>
          <cell r="BF45">
            <v>749.62252582705992</v>
          </cell>
          <cell r="BG45">
            <v>1311.6806633560743</v>
          </cell>
          <cell r="BH45">
            <v>334.70017179813965</v>
          </cell>
          <cell r="BI45">
            <v>1887.6415520557359</v>
          </cell>
          <cell r="BJ45">
            <v>7.9273591406292176</v>
          </cell>
          <cell r="BK45">
            <v>22.598425173713522</v>
          </cell>
          <cell r="BL45">
            <v>436.82155004183289</v>
          </cell>
          <cell r="BM45">
            <v>43.775888720199411</v>
          </cell>
          <cell r="BN45">
            <v>2477.146095901925</v>
          </cell>
        </row>
        <row r="46">
          <cell r="A46" t="str">
            <v>P42</v>
          </cell>
          <cell r="B46" t="str">
            <v>Pharmaceutical products</v>
          </cell>
          <cell r="C46">
            <v>41230.741737230688</v>
          </cell>
          <cell r="E46">
            <v>2136.1271950691762</v>
          </cell>
          <cell r="F46">
            <v>216.36525137062304</v>
          </cell>
          <cell r="G46">
            <v>20.953228334042201</v>
          </cell>
          <cell r="H46">
            <v>11.708494641410363</v>
          </cell>
          <cell r="I46">
            <v>77.109384649406849</v>
          </cell>
          <cell r="J46">
            <v>87.625754497157985</v>
          </cell>
          <cell r="K46">
            <v>15.227286172098077</v>
          </cell>
          <cell r="L46">
            <v>44.692830634649781</v>
          </cell>
          <cell r="M46">
            <v>48.788282682050152</v>
          </cell>
          <cell r="N46">
            <v>0</v>
          </cell>
          <cell r="O46">
            <v>24.866386729716439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93.424852329719613</v>
          </cell>
          <cell r="W46">
            <v>7902.8797511710818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0.23407009901433462</v>
          </cell>
          <cell r="AI46">
            <v>0</v>
          </cell>
          <cell r="AJ46">
            <v>0</v>
          </cell>
          <cell r="AK46">
            <v>0</v>
          </cell>
          <cell r="AL46">
            <v>2.3529359028300196</v>
          </cell>
          <cell r="AM46">
            <v>13.171799249747238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2.0217112991812649</v>
          </cell>
          <cell r="AU46">
            <v>5.5485327106582112E-2</v>
          </cell>
          <cell r="AV46">
            <v>0.65796791356873541</v>
          </cell>
          <cell r="AW46">
            <v>0.41385018912136468</v>
          </cell>
          <cell r="AX46">
            <v>3.2644940552287411</v>
          </cell>
          <cell r="AY46">
            <v>0</v>
          </cell>
          <cell r="AZ46">
            <v>0</v>
          </cell>
          <cell r="BA46">
            <v>0</v>
          </cell>
          <cell r="BB46">
            <v>258.62015424140003</v>
          </cell>
          <cell r="BC46">
            <v>21.02348437641604</v>
          </cell>
          <cell r="BD46">
            <v>78.159346161006354</v>
          </cell>
          <cell r="BE46">
            <v>7.769054077204383</v>
          </cell>
          <cell r="BF46">
            <v>278.44297406612236</v>
          </cell>
          <cell r="BG46">
            <v>8380.3652471056266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9.7288054570367084</v>
          </cell>
        </row>
        <row r="47">
          <cell r="A47" t="str">
            <v>P43</v>
          </cell>
          <cell r="B47" t="str">
            <v>Soap, cleaning, perfume</v>
          </cell>
          <cell r="C47">
            <v>36377.118616609187</v>
          </cell>
          <cell r="E47">
            <v>9.1204133161472765</v>
          </cell>
          <cell r="F47">
            <v>1.047230339275051</v>
          </cell>
          <cell r="G47">
            <v>0</v>
          </cell>
          <cell r="H47">
            <v>30.180526506353708</v>
          </cell>
          <cell r="I47">
            <v>45.391034182560773</v>
          </cell>
          <cell r="J47">
            <v>147.54415237842147</v>
          </cell>
          <cell r="K47">
            <v>25.847061141113958</v>
          </cell>
          <cell r="L47">
            <v>0</v>
          </cell>
          <cell r="M47">
            <v>0.67940827243809276</v>
          </cell>
          <cell r="N47">
            <v>2.648259257919007</v>
          </cell>
          <cell r="O47">
            <v>61.185253700014727</v>
          </cell>
          <cell r="P47">
            <v>47.196435775825599</v>
          </cell>
          <cell r="Q47">
            <v>3.9090399443963952</v>
          </cell>
          <cell r="R47">
            <v>48.763110416664091</v>
          </cell>
          <cell r="S47">
            <v>232.61943823637776</v>
          </cell>
          <cell r="T47">
            <v>94.120962930870135</v>
          </cell>
          <cell r="U47">
            <v>0</v>
          </cell>
          <cell r="V47">
            <v>1.0956438077301984</v>
          </cell>
          <cell r="W47">
            <v>1211.0796847132215</v>
          </cell>
          <cell r="X47">
            <v>0.27786598968982956</v>
          </cell>
          <cell r="Y47">
            <v>45.821988371328487</v>
          </cell>
          <cell r="Z47">
            <v>0</v>
          </cell>
          <cell r="AA47">
            <v>0</v>
          </cell>
          <cell r="AB47">
            <v>26.228412661397055</v>
          </cell>
          <cell r="AC47">
            <v>0</v>
          </cell>
          <cell r="AD47">
            <v>123.72741975710552</v>
          </cell>
          <cell r="AE47">
            <v>14.631393837960792</v>
          </cell>
          <cell r="AF47">
            <v>15.542724130195515</v>
          </cell>
          <cell r="AG47">
            <v>0.61250091263985096</v>
          </cell>
          <cell r="AH47">
            <v>0</v>
          </cell>
          <cell r="AI47">
            <v>219.28650472192913</v>
          </cell>
          <cell r="AJ47">
            <v>1.7060560484711325</v>
          </cell>
          <cell r="AK47">
            <v>23.476287721773069</v>
          </cell>
          <cell r="AL47">
            <v>8.9480399212501478</v>
          </cell>
          <cell r="AM47">
            <v>0</v>
          </cell>
          <cell r="AN47">
            <v>0</v>
          </cell>
          <cell r="AO47">
            <v>0</v>
          </cell>
          <cell r="AP47">
            <v>735.96982473260573</v>
          </cell>
          <cell r="AQ47">
            <v>249.15441976011056</v>
          </cell>
          <cell r="AR47">
            <v>0</v>
          </cell>
          <cell r="AS47">
            <v>34.278533246993256</v>
          </cell>
          <cell r="AT47">
            <v>95.608550748399381</v>
          </cell>
          <cell r="AU47">
            <v>2.6239511618743645</v>
          </cell>
          <cell r="AV47">
            <v>31.115896063266259</v>
          </cell>
          <cell r="AW47">
            <v>19.571348700909322</v>
          </cell>
          <cell r="AX47">
            <v>154.3808681652927</v>
          </cell>
          <cell r="AY47">
            <v>17.103405105135728</v>
          </cell>
          <cell r="AZ47">
            <v>2.9467931102741343</v>
          </cell>
          <cell r="BA47">
            <v>1.0569560164163851</v>
          </cell>
          <cell r="BB47">
            <v>83.764331428895957</v>
          </cell>
          <cell r="BC47">
            <v>6.8092841343392614</v>
          </cell>
          <cell r="BD47">
            <v>25.314985196340547</v>
          </cell>
          <cell r="BE47">
            <v>2.5163144091412355</v>
          </cell>
          <cell r="BF47">
            <v>90.184733019498196</v>
          </cell>
          <cell r="BG47">
            <v>166.02945390663305</v>
          </cell>
          <cell r="BH47">
            <v>84.111909913179844</v>
          </cell>
          <cell r="BI47">
            <v>474.37422969308778</v>
          </cell>
          <cell r="BJ47">
            <v>1.99218696035856</v>
          </cell>
          <cell r="BK47">
            <v>5.6791028584756074</v>
          </cell>
          <cell r="BL47">
            <v>109.77554827015055</v>
          </cell>
          <cell r="BM47">
            <v>11.001110601829785</v>
          </cell>
          <cell r="BN47">
            <v>170.19429293973431</v>
          </cell>
        </row>
        <row r="48">
          <cell r="A48" t="str">
            <v>P44</v>
          </cell>
          <cell r="B48" t="str">
            <v>Chemical products, n.e.c.</v>
          </cell>
          <cell r="C48">
            <v>32194.136180795867</v>
          </cell>
          <cell r="E48">
            <v>38.890589052685158</v>
          </cell>
          <cell r="F48">
            <v>3.8643938919507481</v>
          </cell>
          <cell r="G48">
            <v>0</v>
          </cell>
          <cell r="H48">
            <v>1658.4051895498144</v>
          </cell>
          <cell r="I48">
            <v>2473.0911324023582</v>
          </cell>
          <cell r="J48">
            <v>6583.9754034294356</v>
          </cell>
          <cell r="K48">
            <v>1152.7228845692716</v>
          </cell>
          <cell r="L48">
            <v>935.83435831996189</v>
          </cell>
          <cell r="M48">
            <v>238.08111759314914</v>
          </cell>
          <cell r="N48">
            <v>476.73804232864632</v>
          </cell>
          <cell r="O48">
            <v>117.41202183477333</v>
          </cell>
          <cell r="P48">
            <v>8.4425682330986351</v>
          </cell>
          <cell r="Q48">
            <v>41.998405240583509</v>
          </cell>
          <cell r="R48">
            <v>356.39736684883002</v>
          </cell>
          <cell r="S48">
            <v>824.95105339901181</v>
          </cell>
          <cell r="T48">
            <v>96.956392046796097</v>
          </cell>
          <cell r="U48">
            <v>85.698575877824965</v>
          </cell>
          <cell r="V48">
            <v>848.05079014946125</v>
          </cell>
          <cell r="W48">
            <v>3615.605764831912</v>
          </cell>
          <cell r="X48">
            <v>905.11583226407402</v>
          </cell>
          <cell r="Y48">
            <v>837.7390727335578</v>
          </cell>
          <cell r="Z48">
            <v>40.650529234163848</v>
          </cell>
          <cell r="AA48">
            <v>417.9848481773688</v>
          </cell>
          <cell r="AB48">
            <v>591.99276528079315</v>
          </cell>
          <cell r="AC48">
            <v>92.452037161425437</v>
          </cell>
          <cell r="AD48">
            <v>173.85472003015514</v>
          </cell>
          <cell r="AE48">
            <v>146.36227096655284</v>
          </cell>
          <cell r="AF48">
            <v>372.57455144995237</v>
          </cell>
          <cell r="AG48">
            <v>3.3698989603664926</v>
          </cell>
          <cell r="AH48">
            <v>20.326853036987494</v>
          </cell>
          <cell r="AI48">
            <v>236.6133564649349</v>
          </cell>
          <cell r="AJ48">
            <v>65.498956929929946</v>
          </cell>
          <cell r="AK48">
            <v>201.28383524720491</v>
          </cell>
          <cell r="AL48">
            <v>99.120418178425552</v>
          </cell>
          <cell r="AM48">
            <v>15.486666852506344</v>
          </cell>
          <cell r="AN48">
            <v>392.05321001468258</v>
          </cell>
          <cell r="AO48">
            <v>38.010081395492236</v>
          </cell>
          <cell r="AP48">
            <v>611.71897329801277</v>
          </cell>
          <cell r="AQ48">
            <v>207.09067237055817</v>
          </cell>
          <cell r="AR48">
            <v>0</v>
          </cell>
          <cell r="AS48">
            <v>79.574435786356716</v>
          </cell>
          <cell r="AT48">
            <v>246.63749603738557</v>
          </cell>
          <cell r="AU48">
            <v>6.7689002628241699</v>
          </cell>
          <cell r="AV48">
            <v>80.268413566889734</v>
          </cell>
          <cell r="AW48">
            <v>50.48741351983756</v>
          </cell>
          <cell r="AX48">
            <v>398.25005673985697</v>
          </cell>
          <cell r="AY48">
            <v>43.114521267404029</v>
          </cell>
          <cell r="AZ48">
            <v>7.4283204685015605</v>
          </cell>
          <cell r="BA48">
            <v>2.6643906501876211</v>
          </cell>
          <cell r="BB48">
            <v>379.73927713362696</v>
          </cell>
          <cell r="BC48">
            <v>30.869375912901553</v>
          </cell>
          <cell r="BD48">
            <v>114.76357555920983</v>
          </cell>
          <cell r="BE48">
            <v>11.407521536530663</v>
          </cell>
          <cell r="BF48">
            <v>408.84568337280928</v>
          </cell>
          <cell r="BG48">
            <v>880.40372899025283</v>
          </cell>
          <cell r="BH48">
            <v>87.611018885492683</v>
          </cell>
          <cell r="BI48">
            <v>494.10849948991671</v>
          </cell>
          <cell r="BJ48">
            <v>2.0750632055265958</v>
          </cell>
          <cell r="BK48">
            <v>5.9153571509687568</v>
          </cell>
          <cell r="BL48">
            <v>114.34228092773745</v>
          </cell>
          <cell r="BM48">
            <v>11.458763802809429</v>
          </cell>
          <cell r="BN48">
            <v>345.23102987912637</v>
          </cell>
        </row>
        <row r="49">
          <cell r="A49" t="str">
            <v>P45</v>
          </cell>
          <cell r="B49" t="str">
            <v>Rubber tyres</v>
          </cell>
          <cell r="C49">
            <v>15367.718216410882</v>
          </cell>
          <cell r="E49">
            <v>54.396643445628676</v>
          </cell>
          <cell r="F49">
            <v>4.7638743709275131</v>
          </cell>
          <cell r="G49">
            <v>0.74647825482036612</v>
          </cell>
          <cell r="H49">
            <v>131.90411515071742</v>
          </cell>
          <cell r="I49">
            <v>48.542049064514067</v>
          </cell>
          <cell r="J49">
            <v>779.33933674151399</v>
          </cell>
          <cell r="K49">
            <v>136.63299634665904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316.31857999047787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2.5259694227029885</v>
          </cell>
          <cell r="AF49">
            <v>0</v>
          </cell>
          <cell r="AG49">
            <v>0</v>
          </cell>
          <cell r="AH49">
            <v>0</v>
          </cell>
          <cell r="AI49">
            <v>9.6954292242663058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18.309903880036767</v>
          </cell>
          <cell r="AO49">
            <v>0</v>
          </cell>
          <cell r="AP49">
            <v>46.99898804930541</v>
          </cell>
          <cell r="AQ49">
            <v>15.910986025808342</v>
          </cell>
          <cell r="AR49">
            <v>0</v>
          </cell>
          <cell r="AS49">
            <v>0</v>
          </cell>
          <cell r="AT49">
            <v>1363.8244642318236</v>
          </cell>
          <cell r="AU49">
            <v>37.429798480380029</v>
          </cell>
          <cell r="AV49">
            <v>443.85800166819672</v>
          </cell>
          <cell r="AW49">
            <v>279.17883858059179</v>
          </cell>
          <cell r="AX49">
            <v>2202.1922010641756</v>
          </cell>
          <cell r="AY49">
            <v>16.329187254655917</v>
          </cell>
          <cell r="AZ49">
            <v>2.8134009691407673</v>
          </cell>
          <cell r="BA49">
            <v>1.0091109113012631</v>
          </cell>
          <cell r="BB49">
            <v>66.679909822261919</v>
          </cell>
          <cell r="BC49">
            <v>5.4204748523220534</v>
          </cell>
          <cell r="BD49">
            <v>20.151786580864172</v>
          </cell>
          <cell r="BE49">
            <v>2.0030914713194305</v>
          </cell>
          <cell r="BF49">
            <v>71.79081791143463</v>
          </cell>
          <cell r="BG49">
            <v>286.60944972485731</v>
          </cell>
          <cell r="BH49">
            <v>0.71264290515907125</v>
          </cell>
          <cell r="BI49">
            <v>4.0191624412051254</v>
          </cell>
          <cell r="BJ49">
            <v>1.6878916487752919E-2</v>
          </cell>
          <cell r="BK49">
            <v>4.8116519574205208E-2</v>
          </cell>
          <cell r="BL49">
            <v>0.93007952994313459</v>
          </cell>
          <cell r="BM49">
            <v>9.320753062624075E-2</v>
          </cell>
          <cell r="BN49">
            <v>112.05623287362158</v>
          </cell>
        </row>
        <row r="50">
          <cell r="A50" t="str">
            <v>P46</v>
          </cell>
          <cell r="B50" t="str">
            <v>Other rubber products</v>
          </cell>
          <cell r="C50">
            <v>7912.3764315417247</v>
          </cell>
          <cell r="E50">
            <v>160.18394219228622</v>
          </cell>
          <cell r="F50">
            <v>16.77717081892358</v>
          </cell>
          <cell r="G50">
            <v>1.7526061378615321</v>
          </cell>
          <cell r="H50">
            <v>401.74593369313362</v>
          </cell>
          <cell r="I50">
            <v>250.05054425568255</v>
          </cell>
          <cell r="J50">
            <v>574.41836448039248</v>
          </cell>
          <cell r="K50">
            <v>100.79668053824922</v>
          </cell>
          <cell r="L50">
            <v>0</v>
          </cell>
          <cell r="M50">
            <v>0</v>
          </cell>
          <cell r="N50">
            <v>12.881176760392485</v>
          </cell>
          <cell r="O50">
            <v>27.945576524321655</v>
          </cell>
          <cell r="P50">
            <v>0.95960848600306492</v>
          </cell>
          <cell r="Q50">
            <v>301.1499749357659</v>
          </cell>
          <cell r="R50">
            <v>90.631613087007892</v>
          </cell>
          <cell r="S50">
            <v>1.0559955344230232</v>
          </cell>
          <cell r="T50">
            <v>26.500621684072602</v>
          </cell>
          <cell r="U50">
            <v>0</v>
          </cell>
          <cell r="V50">
            <v>50.920216288085072</v>
          </cell>
          <cell r="W50">
            <v>0</v>
          </cell>
          <cell r="X50">
            <v>181.05066020792984</v>
          </cell>
          <cell r="Y50">
            <v>178.00942149866205</v>
          </cell>
          <cell r="Z50">
            <v>0</v>
          </cell>
          <cell r="AA50">
            <v>1.1717546555478771</v>
          </cell>
          <cell r="AB50">
            <v>0</v>
          </cell>
          <cell r="AC50">
            <v>0</v>
          </cell>
          <cell r="AD50">
            <v>22.570961852530658</v>
          </cell>
          <cell r="AE50">
            <v>328.94163895889096</v>
          </cell>
          <cell r="AF50">
            <v>4.7337874762012664</v>
          </cell>
          <cell r="AG50">
            <v>42.345923319962182</v>
          </cell>
          <cell r="AH50">
            <v>6.6961660329999875</v>
          </cell>
          <cell r="AI50">
            <v>2757.9364320966615</v>
          </cell>
          <cell r="AJ50">
            <v>74.428707594215922</v>
          </cell>
          <cell r="AK50">
            <v>61.246050984055586</v>
          </cell>
          <cell r="AL50">
            <v>585.48911326751841</v>
          </cell>
          <cell r="AM50">
            <v>4.5358656737276579</v>
          </cell>
          <cell r="AN50">
            <v>19.708100108440703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261.28158662322664</v>
          </cell>
          <cell r="AU50">
            <v>7.1708034211351181</v>
          </cell>
          <cell r="AV50">
            <v>85.034347126632383</v>
          </cell>
          <cell r="AW50">
            <v>53.485101498786563</v>
          </cell>
          <cell r="AX50">
            <v>421.89613651448849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47.187102558074095</v>
          </cell>
          <cell r="BH50">
            <v>18.884038182713969</v>
          </cell>
          <cell r="BI50">
            <v>106.50217163855062</v>
          </cell>
          <cell r="BJ50">
            <v>0.44726763029573069</v>
          </cell>
          <cell r="BK50">
            <v>1.2750203310531283</v>
          </cell>
          <cell r="BL50">
            <v>24.645803991392178</v>
          </cell>
          <cell r="BM50">
            <v>2.4698689266674285</v>
          </cell>
          <cell r="BN50">
            <v>100.34494270463927</v>
          </cell>
        </row>
        <row r="51">
          <cell r="A51" t="str">
            <v>P47</v>
          </cell>
          <cell r="B51" t="str">
            <v>Plastic products</v>
          </cell>
          <cell r="C51">
            <v>52693.449726008075</v>
          </cell>
          <cell r="E51">
            <v>229.87549663369089</v>
          </cell>
          <cell r="F51">
            <v>23.462152522751097</v>
          </cell>
          <cell r="G51">
            <v>2.7573124266870224</v>
          </cell>
          <cell r="H51">
            <v>156.31357508952468</v>
          </cell>
          <cell r="I51">
            <v>223.45938269275547</v>
          </cell>
          <cell r="J51">
            <v>453.5335035805291</v>
          </cell>
          <cell r="K51">
            <v>104.74794933844626</v>
          </cell>
          <cell r="L51">
            <v>6937.7506777455374</v>
          </cell>
          <cell r="M51">
            <v>2183.2619066863813</v>
          </cell>
          <cell r="N51">
            <v>385.26223110824554</v>
          </cell>
          <cell r="O51">
            <v>194.81568428504667</v>
          </cell>
          <cell r="P51">
            <v>37.026353066066136</v>
          </cell>
          <cell r="Q51">
            <v>67.096115924926295</v>
          </cell>
          <cell r="R51">
            <v>436.79215893747028</v>
          </cell>
          <cell r="S51">
            <v>213.85564342466682</v>
          </cell>
          <cell r="T51">
            <v>280.4497790989015</v>
          </cell>
          <cell r="U51">
            <v>219.54862146876386</v>
          </cell>
          <cell r="V51">
            <v>582.05317901257945</v>
          </cell>
          <cell r="W51">
            <v>4471.2453889652588</v>
          </cell>
          <cell r="X51">
            <v>205.13750629230469</v>
          </cell>
          <cell r="Y51">
            <v>2322.0163158596247</v>
          </cell>
          <cell r="Z51">
            <v>107.71964615341723</v>
          </cell>
          <cell r="AA51">
            <v>194.38714042854005</v>
          </cell>
          <cell r="AB51">
            <v>178.96186501333682</v>
          </cell>
          <cell r="AC51">
            <v>51.966469423404781</v>
          </cell>
          <cell r="AD51">
            <v>120.62980795945015</v>
          </cell>
          <cell r="AE51">
            <v>497.834132661181</v>
          </cell>
          <cell r="AF51">
            <v>1254.5106011137973</v>
          </cell>
          <cell r="AG51">
            <v>106.98075535176741</v>
          </cell>
          <cell r="AH51">
            <v>210.08038682035112</v>
          </cell>
          <cell r="AI51">
            <v>4254.3551839349357</v>
          </cell>
          <cell r="AJ51">
            <v>6.1209605129346008</v>
          </cell>
          <cell r="AK51">
            <v>497.34678920044877</v>
          </cell>
          <cell r="AL51">
            <v>676.59608138565022</v>
          </cell>
          <cell r="AM51">
            <v>5.9918025447558279</v>
          </cell>
          <cell r="AN51">
            <v>8.6567979614427379</v>
          </cell>
          <cell r="AO51">
            <v>6047.1200031918916</v>
          </cell>
          <cell r="AP51">
            <v>5736.2502100358834</v>
          </cell>
          <cell r="AQ51">
            <v>2293.3881275810559</v>
          </cell>
          <cell r="AR51">
            <v>17.866688294871491</v>
          </cell>
          <cell r="AS51">
            <v>0</v>
          </cell>
          <cell r="AT51">
            <v>228.45179613005598</v>
          </cell>
          <cell r="AU51">
            <v>1.978149827380542</v>
          </cell>
          <cell r="AV51">
            <v>24.347158139003419</v>
          </cell>
          <cell r="AW51">
            <v>42.036564582828689</v>
          </cell>
          <cell r="AX51">
            <v>245.89632427895069</v>
          </cell>
          <cell r="AY51">
            <v>0</v>
          </cell>
          <cell r="AZ51">
            <v>0</v>
          </cell>
          <cell r="BA51">
            <v>0</v>
          </cell>
          <cell r="BB51">
            <v>445.42904645590954</v>
          </cell>
          <cell r="BC51">
            <v>0.62968966574209695</v>
          </cell>
          <cell r="BD51">
            <v>0.37979676252660405</v>
          </cell>
          <cell r="BE51">
            <v>0.35347918512381632</v>
          </cell>
          <cell r="BF51">
            <v>72.002439930993049</v>
          </cell>
          <cell r="BG51">
            <v>51.760507151362702</v>
          </cell>
          <cell r="BH51">
            <v>29.691800203653305</v>
          </cell>
          <cell r="BI51">
            <v>57.107907695240726</v>
          </cell>
          <cell r="BJ51">
            <v>0.75478445867390509</v>
          </cell>
          <cell r="BK51">
            <v>0.63600051496749399</v>
          </cell>
          <cell r="BL51">
            <v>7.3826590930643921</v>
          </cell>
          <cell r="BM51">
            <v>1.9003026520426476</v>
          </cell>
          <cell r="BN51">
            <v>2818.2047023759651</v>
          </cell>
        </row>
        <row r="52">
          <cell r="A52" t="str">
            <v>P48</v>
          </cell>
          <cell r="B52" t="str">
            <v>Glass products</v>
          </cell>
          <cell r="C52">
            <v>11726.310039059954</v>
          </cell>
          <cell r="E52">
            <v>15.147847145309292</v>
          </cell>
          <cell r="F52">
            <v>1.6306091917851782</v>
          </cell>
          <cell r="G52">
            <v>0</v>
          </cell>
          <cell r="H52">
            <v>16.666893059078014</v>
          </cell>
          <cell r="I52">
            <v>25.294905425682416</v>
          </cell>
          <cell r="J52">
            <v>42.325588989218417</v>
          </cell>
          <cell r="K52">
            <v>7.3133065549645204</v>
          </cell>
          <cell r="L52">
            <v>271.52056136836927</v>
          </cell>
          <cell r="M52">
            <v>1707.2458944271445</v>
          </cell>
          <cell r="N52">
            <v>0.54266628764229108</v>
          </cell>
          <cell r="O52">
            <v>0</v>
          </cell>
          <cell r="P52">
            <v>8.8731252649459687E-3</v>
          </cell>
          <cell r="Q52">
            <v>0</v>
          </cell>
          <cell r="R52">
            <v>85.763426090802596</v>
          </cell>
          <cell r="S52">
            <v>0</v>
          </cell>
          <cell r="T52">
            <v>16.528901417915097</v>
          </cell>
          <cell r="U52">
            <v>3.7331237394695718</v>
          </cell>
          <cell r="V52">
            <v>8.703719822405608</v>
          </cell>
          <cell r="W52">
            <v>924.4774401916892</v>
          </cell>
          <cell r="X52">
            <v>0</v>
          </cell>
          <cell r="Y52">
            <v>6.3813535521470355</v>
          </cell>
          <cell r="Z52">
            <v>2011.4941980109415</v>
          </cell>
          <cell r="AA52">
            <v>18.860604383156023</v>
          </cell>
          <cell r="AB52">
            <v>1.0108216081809716</v>
          </cell>
          <cell r="AC52">
            <v>0.72960857588470063</v>
          </cell>
          <cell r="AD52">
            <v>1.3897056119527624</v>
          </cell>
          <cell r="AE52">
            <v>87.617003830111386</v>
          </cell>
          <cell r="AF52">
            <v>55.458106760307032</v>
          </cell>
          <cell r="AG52">
            <v>0.64479699490625175</v>
          </cell>
          <cell r="AH52">
            <v>165.89591866381144</v>
          </cell>
          <cell r="AI52">
            <v>854.91858858233263</v>
          </cell>
          <cell r="AJ52">
            <v>107.64274051771835</v>
          </cell>
          <cell r="AK52">
            <v>155.08534700623375</v>
          </cell>
          <cell r="AL52">
            <v>11.320962905879471</v>
          </cell>
          <cell r="AM52">
            <v>54.654892887851354</v>
          </cell>
          <cell r="AN52">
            <v>19.252595772589927</v>
          </cell>
          <cell r="AO52">
            <v>676.22813330413146</v>
          </cell>
          <cell r="AP52">
            <v>24.567609127071886</v>
          </cell>
          <cell r="AQ52">
            <v>8.3170915318066907</v>
          </cell>
          <cell r="AR52">
            <v>0</v>
          </cell>
          <cell r="AS52">
            <v>42.174943138852001</v>
          </cell>
          <cell r="AT52">
            <v>29.21008864612854</v>
          </cell>
          <cell r="AU52">
            <v>0.80166308809722053</v>
          </cell>
          <cell r="AV52">
            <v>9.5064518308990404</v>
          </cell>
          <cell r="AW52">
            <v>5.9793901905517854</v>
          </cell>
          <cell r="AX52">
            <v>47.16606212598591</v>
          </cell>
          <cell r="AY52">
            <v>0</v>
          </cell>
          <cell r="AZ52">
            <v>0</v>
          </cell>
          <cell r="BA52">
            <v>0</v>
          </cell>
          <cell r="BB52">
            <v>14.786386519364504</v>
          </cell>
          <cell r="BC52">
            <v>1.2019997702241993</v>
          </cell>
          <cell r="BD52">
            <v>4.4686938874790849</v>
          </cell>
          <cell r="BE52">
            <v>0.44418903396121612</v>
          </cell>
          <cell r="BF52">
            <v>15.919739318924208</v>
          </cell>
          <cell r="BG52">
            <v>247.37637555005944</v>
          </cell>
          <cell r="BH52">
            <v>30.237591887736968</v>
          </cell>
          <cell r="BI52">
            <v>170.53392764859177</v>
          </cell>
          <cell r="BJ52">
            <v>0.71617606036495052</v>
          </cell>
          <cell r="BK52">
            <v>2.0415942843328407</v>
          </cell>
          <cell r="BL52">
            <v>39.4634746883237</v>
          </cell>
          <cell r="BM52">
            <v>3.9548155907212617</v>
          </cell>
          <cell r="BN52">
            <v>316.04751590761333</v>
          </cell>
        </row>
        <row r="53">
          <cell r="A53" t="str">
            <v>P49</v>
          </cell>
          <cell r="B53" t="str">
            <v>Non-structural ceramic</v>
          </cell>
          <cell r="C53">
            <v>4149.027314040497</v>
          </cell>
          <cell r="E53">
            <v>65.205658264271037</v>
          </cell>
          <cell r="F53">
            <v>7.1180068781128236</v>
          </cell>
          <cell r="G53">
            <v>0.74357367392659968</v>
          </cell>
          <cell r="H53">
            <v>64.598239425493148</v>
          </cell>
          <cell r="I53">
            <v>97.788873131648941</v>
          </cell>
          <cell r="J53">
            <v>137.23488766351235</v>
          </cell>
          <cell r="K53">
            <v>23.866826244065656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12.76095815890003</v>
          </cell>
          <cell r="AO53">
            <v>767.37983868790411</v>
          </cell>
          <cell r="AP53">
            <v>584.31348663079518</v>
          </cell>
          <cell r="AQ53">
            <v>197.89685428043188</v>
          </cell>
          <cell r="AR53">
            <v>0</v>
          </cell>
          <cell r="AS53">
            <v>81.604515994036191</v>
          </cell>
          <cell r="AT53">
            <v>25.918111652903775</v>
          </cell>
          <cell r="AU53">
            <v>0.7113156579916563</v>
          </cell>
          <cell r="AV53">
            <v>8.4350747086434463</v>
          </cell>
          <cell r="AW53">
            <v>5.3055129155022209</v>
          </cell>
          <cell r="AX53">
            <v>41.850446919856253</v>
          </cell>
          <cell r="AY53">
            <v>0</v>
          </cell>
          <cell r="AZ53">
            <v>0</v>
          </cell>
          <cell r="BA53">
            <v>0</v>
          </cell>
          <cell r="BB53">
            <v>150.9640291328945</v>
          </cell>
          <cell r="BC53">
            <v>12.272013050126649</v>
          </cell>
          <cell r="BD53">
            <v>45.62386038887179</v>
          </cell>
          <cell r="BE53">
            <v>4.5350205187464327</v>
          </cell>
          <cell r="BF53">
            <v>162.53517971972008</v>
          </cell>
          <cell r="BG53">
            <v>32.759302450408043</v>
          </cell>
          <cell r="BH53">
            <v>23.710001900758783</v>
          </cell>
          <cell r="BI53">
            <v>133.71963493997097</v>
          </cell>
          <cell r="BJ53">
            <v>0.56157037291774536</v>
          </cell>
          <cell r="BK53">
            <v>1.6008617532053213</v>
          </cell>
          <cell r="BL53">
            <v>30.944232045481371</v>
          </cell>
          <cell r="BM53">
            <v>3.1010632566669796</v>
          </cell>
          <cell r="BN53">
            <v>225.96636399756522</v>
          </cell>
        </row>
        <row r="54">
          <cell r="A54" t="str">
            <v>P50</v>
          </cell>
          <cell r="B54" t="str">
            <v>Structure non-refractory clay</v>
          </cell>
          <cell r="C54">
            <v>12023.031065109097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740.70459817023652</v>
          </cell>
          <cell r="AB54">
            <v>0</v>
          </cell>
          <cell r="AC54">
            <v>19.127627820713951</v>
          </cell>
          <cell r="AD54">
            <v>0</v>
          </cell>
          <cell r="AE54">
            <v>0</v>
          </cell>
          <cell r="AF54">
            <v>3.5773095624410547</v>
          </cell>
          <cell r="AG54">
            <v>0</v>
          </cell>
          <cell r="AH54">
            <v>0</v>
          </cell>
          <cell r="AI54">
            <v>8.3548245160814757E-2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10631.059580369869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3.7739690821692848</v>
          </cell>
          <cell r="AZ54">
            <v>0.65022760212728725</v>
          </cell>
          <cell r="BA54">
            <v>0.2332236945010713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1.9193055775913601</v>
          </cell>
        </row>
        <row r="55">
          <cell r="A55" t="str">
            <v>P51</v>
          </cell>
          <cell r="B55" t="str">
            <v>Plaster, cement</v>
          </cell>
          <cell r="C55">
            <v>13110.409186542032</v>
          </cell>
          <cell r="E55">
            <v>190.86826808906724</v>
          </cell>
          <cell r="F55">
            <v>20.546256466716905</v>
          </cell>
          <cell r="G55">
            <v>2.7595786495544279</v>
          </cell>
          <cell r="H55">
            <v>27.662222580974653</v>
          </cell>
          <cell r="I55">
            <v>594.59587472095518</v>
          </cell>
          <cell r="J55">
            <v>64.153221946207168</v>
          </cell>
          <cell r="K55">
            <v>12.03955951782557</v>
          </cell>
          <cell r="L55">
            <v>0</v>
          </cell>
          <cell r="M55">
            <v>0</v>
          </cell>
          <cell r="N55">
            <v>9.2850753301726791E-2</v>
          </cell>
          <cell r="O55">
            <v>0</v>
          </cell>
          <cell r="P55">
            <v>0</v>
          </cell>
          <cell r="Q55">
            <v>0</v>
          </cell>
          <cell r="R55">
            <v>40.954719167597673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69.440168596011418</v>
          </cell>
          <cell r="X55">
            <v>0</v>
          </cell>
          <cell r="Y55">
            <v>0</v>
          </cell>
          <cell r="Z55">
            <v>0</v>
          </cell>
          <cell r="AA55">
            <v>4324.542912804598</v>
          </cell>
          <cell r="AB55">
            <v>94.791867441279209</v>
          </cell>
          <cell r="AC55">
            <v>0</v>
          </cell>
          <cell r="AD55">
            <v>12.704430075320102</v>
          </cell>
          <cell r="AE55">
            <v>38.25921214632519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1.5205638150913428</v>
          </cell>
          <cell r="AM55">
            <v>87.430523661118457</v>
          </cell>
          <cell r="AN55">
            <v>40.016329943590208</v>
          </cell>
          <cell r="AO55">
            <v>3592.9809078701992</v>
          </cell>
          <cell r="AP55">
            <v>0</v>
          </cell>
          <cell r="AQ55">
            <v>0</v>
          </cell>
          <cell r="AR55">
            <v>0</v>
          </cell>
          <cell r="AS55">
            <v>87.503585858284936</v>
          </cell>
          <cell r="AT55">
            <v>506.36217531668791</v>
          </cell>
          <cell r="AU55">
            <v>13.896974777370483</v>
          </cell>
          <cell r="AV55">
            <v>164.79606368039549</v>
          </cell>
          <cell r="AW55">
            <v>103.65381155241238</v>
          </cell>
          <cell r="AX55">
            <v>817.63222661091322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782.95243702153971</v>
          </cell>
          <cell r="BH55">
            <v>24.78472664005989</v>
          </cell>
          <cell r="BI55">
            <v>139.78086599350812</v>
          </cell>
          <cell r="BJ55">
            <v>0.58702518203836584</v>
          </cell>
          <cell r="BK55">
            <v>1.6734254644008215</v>
          </cell>
          <cell r="BL55">
            <v>32.346869289340191</v>
          </cell>
          <cell r="BM55">
            <v>3.2416279607116114</v>
          </cell>
          <cell r="BN55">
            <v>837.74849643145058</v>
          </cell>
        </row>
        <row r="56">
          <cell r="A56" t="str">
            <v>P52</v>
          </cell>
          <cell r="B56" t="str">
            <v>Articles of concrete</v>
          </cell>
          <cell r="C56">
            <v>11931.144949375246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10110.882904067339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1753.7193164539567</v>
          </cell>
        </row>
        <row r="57">
          <cell r="A57" t="str">
            <v>P53</v>
          </cell>
          <cell r="B57" t="str">
            <v>Non-metallic products n.e.c.</v>
          </cell>
          <cell r="C57">
            <v>12687.620064652441</v>
          </cell>
          <cell r="E57">
            <v>77.935532571471299</v>
          </cell>
          <cell r="F57">
            <v>8.2030364675739875</v>
          </cell>
          <cell r="G57">
            <v>0.70111630726203555</v>
          </cell>
          <cell r="H57">
            <v>17.998758103527038</v>
          </cell>
          <cell r="I57">
            <v>53.758024498321696</v>
          </cell>
          <cell r="J57">
            <v>135.87055652099815</v>
          </cell>
          <cell r="K57">
            <v>23.689051156638982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11.772971712867557</v>
          </cell>
          <cell r="S57">
            <v>36.921285692965192</v>
          </cell>
          <cell r="T57">
            <v>1.135601193864582</v>
          </cell>
          <cell r="U57">
            <v>87.339656719990629</v>
          </cell>
          <cell r="V57">
            <v>0</v>
          </cell>
          <cell r="W57">
            <v>119.06606836507635</v>
          </cell>
          <cell r="X57">
            <v>0</v>
          </cell>
          <cell r="Y57">
            <v>31.633077240556691</v>
          </cell>
          <cell r="Z57">
            <v>0</v>
          </cell>
          <cell r="AA57">
            <v>123.89518249496452</v>
          </cell>
          <cell r="AB57">
            <v>123.87900258750174</v>
          </cell>
          <cell r="AC57">
            <v>1.6405624487876562</v>
          </cell>
          <cell r="AD57">
            <v>93.658619039339982</v>
          </cell>
          <cell r="AE57">
            <v>34.984257936626612</v>
          </cell>
          <cell r="AF57">
            <v>44.102824896067979</v>
          </cell>
          <cell r="AG57">
            <v>0</v>
          </cell>
          <cell r="AH57">
            <v>0</v>
          </cell>
          <cell r="AI57">
            <v>2176.0884175400411</v>
          </cell>
          <cell r="AJ57">
            <v>1.963194052165357</v>
          </cell>
          <cell r="AK57">
            <v>32.028161258139335</v>
          </cell>
          <cell r="AL57">
            <v>300.89624505375048</v>
          </cell>
          <cell r="AM57">
            <v>0</v>
          </cell>
          <cell r="AN57">
            <v>0</v>
          </cell>
          <cell r="AO57">
            <v>5410.4337947399572</v>
          </cell>
          <cell r="AP57">
            <v>27.010602886476285</v>
          </cell>
          <cell r="AQ57">
            <v>9.1441399679612054</v>
          </cell>
          <cell r="AR57">
            <v>0</v>
          </cell>
          <cell r="AS57">
            <v>0</v>
          </cell>
          <cell r="AT57">
            <v>146.42855382274536</v>
          </cell>
          <cell r="AU57">
            <v>4.0186925847864572</v>
          </cell>
          <cell r="AV57">
            <v>47.655315615368025</v>
          </cell>
          <cell r="AW57">
            <v>29.974351291825009</v>
          </cell>
          <cell r="AX57">
            <v>236.44085268933907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542.65137224634839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1237.2286054946592</v>
          </cell>
        </row>
        <row r="58">
          <cell r="A58" t="str">
            <v>P54</v>
          </cell>
          <cell r="B58" t="str">
            <v>Furniture</v>
          </cell>
          <cell r="C58">
            <v>22992.242974131252</v>
          </cell>
          <cell r="E58">
            <v>0</v>
          </cell>
          <cell r="F58">
            <v>0</v>
          </cell>
          <cell r="G58">
            <v>0</v>
          </cell>
          <cell r="H58">
            <v>2.6483856266251604</v>
          </cell>
          <cell r="I58">
            <v>4.6594369113334508</v>
          </cell>
          <cell r="J58">
            <v>15.091841036645871</v>
          </cell>
          <cell r="K58">
            <v>2.5307489103899394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1.4066930051792002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7.9009048063380476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194.2725570557034</v>
          </cell>
          <cell r="AL58">
            <v>4.8531247807735274E-2</v>
          </cell>
          <cell r="AM58">
            <v>0</v>
          </cell>
          <cell r="AN58">
            <v>7.1787137138310175</v>
          </cell>
          <cell r="AO58">
            <v>130.85838432278618</v>
          </cell>
          <cell r="AP58">
            <v>641.47832631410381</v>
          </cell>
          <cell r="AQ58">
            <v>217.16537120193308</v>
          </cell>
          <cell r="AR58">
            <v>0</v>
          </cell>
          <cell r="AS58">
            <v>16.824174984275349</v>
          </cell>
          <cell r="AT58">
            <v>43.866484576792232</v>
          </cell>
          <cell r="AU58">
            <v>1.2039039633130717</v>
          </cell>
          <cell r="AV58">
            <v>14.276390177111502</v>
          </cell>
          <cell r="AW58">
            <v>8.9795971094126248</v>
          </cell>
          <cell r="AX58">
            <v>70.832011565011229</v>
          </cell>
          <cell r="AY58">
            <v>28.035896037726324</v>
          </cell>
          <cell r="AZ58">
            <v>4.8303822996933823</v>
          </cell>
          <cell r="BA58">
            <v>1.7325619553851868</v>
          </cell>
          <cell r="BB58">
            <v>298.80550358978888</v>
          </cell>
          <cell r="BC58">
            <v>24.290190587557426</v>
          </cell>
          <cell r="BD58">
            <v>90.304032407654773</v>
          </cell>
          <cell r="BE58">
            <v>8.9762382315667644</v>
          </cell>
          <cell r="BF58">
            <v>321.70846595816874</v>
          </cell>
          <cell r="BG58">
            <v>124.74078977018456</v>
          </cell>
          <cell r="BH58">
            <v>64.23568746047367</v>
          </cell>
          <cell r="BI58">
            <v>362.27633862221313</v>
          </cell>
          <cell r="BJ58">
            <v>1.5214194883996068</v>
          </cell>
          <cell r="BK58">
            <v>4.3370918179063409</v>
          </cell>
          <cell r="BL58">
            <v>83.834831675586372</v>
          </cell>
          <cell r="BM58">
            <v>8.4014725508749795</v>
          </cell>
          <cell r="BN58">
            <v>139.50292471858216</v>
          </cell>
        </row>
        <row r="59">
          <cell r="A59" t="str">
            <v>P55</v>
          </cell>
          <cell r="B59" t="str">
            <v>Jewellery</v>
          </cell>
          <cell r="C59">
            <v>10169.055557738018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156.06123156780342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135.69027841025235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53.967368650076793</v>
          </cell>
        </row>
        <row r="60">
          <cell r="A60" t="str">
            <v>P56</v>
          </cell>
          <cell r="B60" t="str">
            <v>Manufactured products n.e.c.</v>
          </cell>
          <cell r="C60">
            <v>13153.394558437618</v>
          </cell>
          <cell r="E60">
            <v>0</v>
          </cell>
          <cell r="F60">
            <v>0</v>
          </cell>
          <cell r="G60">
            <v>0</v>
          </cell>
          <cell r="H60">
            <v>4.0552811220058125</v>
          </cell>
          <cell r="I60">
            <v>6.8107791190834561</v>
          </cell>
          <cell r="J60">
            <v>7.9440989755516194</v>
          </cell>
          <cell r="K60">
            <v>1.3760620316130678</v>
          </cell>
          <cell r="L60">
            <v>5.7661804080102295</v>
          </cell>
          <cell r="M60">
            <v>0.93590386236982903</v>
          </cell>
          <cell r="N60">
            <v>0.83770398327764894</v>
          </cell>
          <cell r="O60">
            <v>1.0772884977713075</v>
          </cell>
          <cell r="P60">
            <v>0.14767916043159565</v>
          </cell>
          <cell r="Q60">
            <v>0.32901036232999303</v>
          </cell>
          <cell r="R60">
            <v>0.56580889752282093</v>
          </cell>
          <cell r="S60">
            <v>5.6371776244665037</v>
          </cell>
          <cell r="T60">
            <v>65.470346063599052</v>
          </cell>
          <cell r="U60">
            <v>0.21203951561770776</v>
          </cell>
          <cell r="V60">
            <v>3.4101910339047086</v>
          </cell>
          <cell r="W60">
            <v>6.5690680662830463</v>
          </cell>
          <cell r="X60">
            <v>0.33678059462117338</v>
          </cell>
          <cell r="Y60">
            <v>1.6378207542953149</v>
          </cell>
          <cell r="Z60">
            <v>0.28095037596786965</v>
          </cell>
          <cell r="AA60">
            <v>0.43559612771794071</v>
          </cell>
          <cell r="AB60">
            <v>1.4187841071745717</v>
          </cell>
          <cell r="AC60">
            <v>0.26704537081737406</v>
          </cell>
          <cell r="AD60">
            <v>1.9753226571499869</v>
          </cell>
          <cell r="AE60">
            <v>1.860737082136253</v>
          </cell>
          <cell r="AF60">
            <v>0.93025709243364907</v>
          </cell>
          <cell r="AG60">
            <v>0.18228835491860534</v>
          </cell>
          <cell r="AH60">
            <v>0.43708809458058367</v>
          </cell>
          <cell r="AI60">
            <v>2.972335223789174</v>
          </cell>
          <cell r="AJ60">
            <v>0.51177666021543922</v>
          </cell>
          <cell r="AK60">
            <v>0.70310282356796772</v>
          </cell>
          <cell r="AL60">
            <v>0.40994071582867325</v>
          </cell>
          <cell r="AM60">
            <v>3.8753673138783067</v>
          </cell>
          <cell r="AN60">
            <v>0.63225373732470502</v>
          </cell>
          <cell r="AO60">
            <v>6.0052469299260123</v>
          </cell>
          <cell r="AP60">
            <v>199.07048097022147</v>
          </cell>
          <cell r="AQ60">
            <v>84.167709310492683</v>
          </cell>
          <cell r="AR60">
            <v>7.1183948342920305</v>
          </cell>
          <cell r="AS60">
            <v>8.7165099303454738</v>
          </cell>
          <cell r="AT60">
            <v>155.08316284336215</v>
          </cell>
          <cell r="AU60">
            <v>4.0127821302294535</v>
          </cell>
          <cell r="AV60">
            <v>48.037665249623515</v>
          </cell>
          <cell r="AW60">
            <v>31.442415444163409</v>
          </cell>
          <cell r="AX60">
            <v>239.38932166138002</v>
          </cell>
          <cell r="AY60">
            <v>86.848928184374302</v>
          </cell>
          <cell r="AZ60">
            <v>14.963442755124655</v>
          </cell>
          <cell r="BA60">
            <v>5.3670889860536795</v>
          </cell>
          <cell r="BB60">
            <v>435.99305050824171</v>
          </cell>
          <cell r="BC60">
            <v>35.761938334527869</v>
          </cell>
          <cell r="BD60">
            <v>131.21853392010647</v>
          </cell>
          <cell r="BE60">
            <v>13.312636270490913</v>
          </cell>
          <cell r="BF60">
            <v>476.76193875757303</v>
          </cell>
          <cell r="BG60">
            <v>129.96996310379959</v>
          </cell>
          <cell r="BH60">
            <v>45.092686971756727</v>
          </cell>
          <cell r="BI60">
            <v>224.27200409793318</v>
          </cell>
          <cell r="BJ60">
            <v>0.99347631528023173</v>
          </cell>
          <cell r="BK60">
            <v>3.1824695154052991</v>
          </cell>
          <cell r="BL60">
            <v>50.517233798058527</v>
          </cell>
          <cell r="BM60">
            <v>5.1978602130196077</v>
          </cell>
          <cell r="BN60">
            <v>115.82323205283599</v>
          </cell>
        </row>
        <row r="61">
          <cell r="A61" t="str">
            <v>P57</v>
          </cell>
          <cell r="B61" t="str">
            <v>Wastes, scraps</v>
          </cell>
          <cell r="C61">
            <v>16336.524309965682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41.959083227957017</v>
          </cell>
          <cell r="S61">
            <v>0</v>
          </cell>
          <cell r="T61">
            <v>0</v>
          </cell>
          <cell r="U61">
            <v>0</v>
          </cell>
          <cell r="V61">
            <v>31.018792687508991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7.1804758769229196</v>
          </cell>
          <cell r="AB61">
            <v>4703.9775582111661</v>
          </cell>
          <cell r="AC61">
            <v>592.04923549283569</v>
          </cell>
          <cell r="AD61">
            <v>771.12250331020914</v>
          </cell>
          <cell r="AE61">
            <v>155.64132152393466</v>
          </cell>
          <cell r="AF61">
            <v>58.299008063980139</v>
          </cell>
          <cell r="AG61">
            <v>0</v>
          </cell>
          <cell r="AH61">
            <v>0</v>
          </cell>
          <cell r="AI61">
            <v>2.7261579977631669</v>
          </cell>
          <cell r="AJ61">
            <v>37.188242086413666</v>
          </cell>
          <cell r="AK61">
            <v>16.333899793384379</v>
          </cell>
          <cell r="AL61">
            <v>5380.0013851476069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16.353630973361302</v>
          </cell>
        </row>
        <row r="62">
          <cell r="A62" t="str">
            <v>P58</v>
          </cell>
          <cell r="B62" t="str">
            <v>Iron, steel products</v>
          </cell>
          <cell r="C62">
            <v>128931.28726957913</v>
          </cell>
          <cell r="E62">
            <v>65.680672244327724</v>
          </cell>
          <cell r="F62">
            <v>6.4275265027224036</v>
          </cell>
          <cell r="G62">
            <v>0</v>
          </cell>
          <cell r="H62">
            <v>74.010886145804548</v>
          </cell>
          <cell r="I62">
            <v>303.81407389888795</v>
          </cell>
          <cell r="J62">
            <v>487.81206509378057</v>
          </cell>
          <cell r="K62">
            <v>85.51885279656679</v>
          </cell>
          <cell r="L62">
            <v>0</v>
          </cell>
          <cell r="M62">
            <v>0</v>
          </cell>
          <cell r="N62">
            <v>76.981423054680789</v>
          </cell>
          <cell r="O62">
            <v>1.3454572621477277</v>
          </cell>
          <cell r="P62">
            <v>2.0593890722091821</v>
          </cell>
          <cell r="Q62">
            <v>14.858409556498444</v>
          </cell>
          <cell r="R62">
            <v>246.45864637428025</v>
          </cell>
          <cell r="S62">
            <v>0</v>
          </cell>
          <cell r="T62">
            <v>1.2395225919519588</v>
          </cell>
          <cell r="U62">
            <v>62.552961535726354</v>
          </cell>
          <cell r="V62">
            <v>154.51177192788236</v>
          </cell>
          <cell r="W62">
            <v>145.18392311576403</v>
          </cell>
          <cell r="X62">
            <v>269.48121953087013</v>
          </cell>
          <cell r="Y62">
            <v>123.06713270136383</v>
          </cell>
          <cell r="Z62">
            <v>0</v>
          </cell>
          <cell r="AA62">
            <v>84.767681620208037</v>
          </cell>
          <cell r="AB62">
            <v>11712.283024003684</v>
          </cell>
          <cell r="AC62">
            <v>1321.9213796752256</v>
          </cell>
          <cell r="AD62">
            <v>18073.745738469792</v>
          </cell>
          <cell r="AE62">
            <v>10204.574582239178</v>
          </cell>
          <cell r="AF62">
            <v>3055.1352707669416</v>
          </cell>
          <cell r="AG62">
            <v>163.97669045262492</v>
          </cell>
          <cell r="AH62">
            <v>68.920860198076795</v>
          </cell>
          <cell r="AI62">
            <v>15841.548376573148</v>
          </cell>
          <cell r="AJ62">
            <v>1480.6820590758821</v>
          </cell>
          <cell r="AK62">
            <v>376.63212194187327</v>
          </cell>
          <cell r="AL62">
            <v>113.46279001828</v>
          </cell>
          <cell r="AM62">
            <v>362.83555015926049</v>
          </cell>
          <cell r="AN62">
            <v>90.34024989311277</v>
          </cell>
          <cell r="AO62">
            <v>7655.1739512082049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378.16721885827008</v>
          </cell>
          <cell r="AU62">
            <v>10.3786984065604</v>
          </cell>
          <cell r="AV62">
            <v>123.07489010574122</v>
          </cell>
          <cell r="AW62">
            <v>77.411930727882364</v>
          </cell>
          <cell r="AX62">
            <v>610.63349566536067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162.54716532830423</v>
          </cell>
          <cell r="BH62">
            <v>4.2455970520609227</v>
          </cell>
          <cell r="BI62">
            <v>23.944312205459113</v>
          </cell>
          <cell r="BJ62">
            <v>0.10055678315690095</v>
          </cell>
          <cell r="BK62">
            <v>0.28665598461837599</v>
          </cell>
          <cell r="BL62">
            <v>5.5409839653526261</v>
          </cell>
          <cell r="BM62">
            <v>0.5552873878233735</v>
          </cell>
          <cell r="BN62">
            <v>935.28282016734909</v>
          </cell>
        </row>
        <row r="63">
          <cell r="A63" t="str">
            <v>P59</v>
          </cell>
          <cell r="B63" t="str">
            <v>Non-ferrous metals</v>
          </cell>
          <cell r="C63">
            <v>68010.696818169818</v>
          </cell>
          <cell r="E63">
            <v>9.6088805337067136</v>
          </cell>
          <cell r="F63">
            <v>0.91943121367387748</v>
          </cell>
          <cell r="G63">
            <v>0</v>
          </cell>
          <cell r="H63">
            <v>11.749303205456156</v>
          </cell>
          <cell r="I63">
            <v>88.093282949601686</v>
          </cell>
          <cell r="J63">
            <v>80.251167822042163</v>
          </cell>
          <cell r="K63">
            <v>13.984457956014907</v>
          </cell>
          <cell r="L63">
            <v>1.1431927350964464</v>
          </cell>
          <cell r="M63">
            <v>0</v>
          </cell>
          <cell r="N63">
            <v>22.994087941995112</v>
          </cell>
          <cell r="O63">
            <v>0</v>
          </cell>
          <cell r="P63">
            <v>0</v>
          </cell>
          <cell r="Q63">
            <v>0</v>
          </cell>
          <cell r="R63">
            <v>45.65635402267084</v>
          </cell>
          <cell r="S63">
            <v>33.418249692106485</v>
          </cell>
          <cell r="T63">
            <v>42.743467406549932</v>
          </cell>
          <cell r="U63">
            <v>99.485113586030963</v>
          </cell>
          <cell r="V63">
            <v>8.2547923879020875</v>
          </cell>
          <cell r="W63">
            <v>79.823879524317022</v>
          </cell>
          <cell r="X63">
            <v>0</v>
          </cell>
          <cell r="Y63">
            <v>18.813088982648413</v>
          </cell>
          <cell r="Z63">
            <v>0.2416604976642984</v>
          </cell>
          <cell r="AA63">
            <v>31.789311961213532</v>
          </cell>
          <cell r="AB63">
            <v>7245.2523028825599</v>
          </cell>
          <cell r="AC63">
            <v>3400.3835187566556</v>
          </cell>
          <cell r="AD63">
            <v>4015.4969294165335</v>
          </cell>
          <cell r="AE63">
            <v>487.15878168161612</v>
          </cell>
          <cell r="AF63">
            <v>3153.5062388027363</v>
          </cell>
          <cell r="AG63">
            <v>14.231078646257066</v>
          </cell>
          <cell r="AH63">
            <v>43.856384664837705</v>
          </cell>
          <cell r="AI63">
            <v>6577.0691402576413</v>
          </cell>
          <cell r="AJ63">
            <v>6.6154878229782144</v>
          </cell>
          <cell r="AK63">
            <v>134.746095016873</v>
          </cell>
          <cell r="AL63">
            <v>252.41206891055805</v>
          </cell>
          <cell r="AM63">
            <v>0</v>
          </cell>
          <cell r="AN63">
            <v>19.08620125835602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4.3059320055877688</v>
          </cell>
          <cell r="AU63">
            <v>0.11817515484307461</v>
          </cell>
          <cell r="AV63">
            <v>1.4013697696762244</v>
          </cell>
          <cell r="AW63">
            <v>0.88143681819352948</v>
          </cell>
          <cell r="AX63">
            <v>6.952866831259751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21.998258933518315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82.589216256075616</v>
          </cell>
        </row>
        <row r="64">
          <cell r="A64" t="str">
            <v>P60</v>
          </cell>
          <cell r="B64" t="str">
            <v>Structural metal products</v>
          </cell>
          <cell r="C64">
            <v>19645.214662000788</v>
          </cell>
          <cell r="E64">
            <v>146.23675239986332</v>
          </cell>
          <cell r="F64">
            <v>14.91332251391591</v>
          </cell>
          <cell r="G64">
            <v>1.5579015589634926</v>
          </cell>
          <cell r="H64">
            <v>17.550969410107463</v>
          </cell>
          <cell r="I64">
            <v>104.33145011645696</v>
          </cell>
          <cell r="J64">
            <v>140.30769292070715</v>
          </cell>
          <cell r="K64">
            <v>24.247936181514053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19.311765986190686</v>
          </cell>
          <cell r="Y64">
            <v>0</v>
          </cell>
          <cell r="Z64">
            <v>0</v>
          </cell>
          <cell r="AA64">
            <v>5.6592246213739621</v>
          </cell>
          <cell r="AB64">
            <v>1.9404654436852322</v>
          </cell>
          <cell r="AC64">
            <v>0</v>
          </cell>
          <cell r="AD64">
            <v>70.441084028905678</v>
          </cell>
          <cell r="AE64">
            <v>187.44380089168743</v>
          </cell>
          <cell r="AF64">
            <v>0</v>
          </cell>
          <cell r="AG64">
            <v>0</v>
          </cell>
          <cell r="AH64">
            <v>0</v>
          </cell>
          <cell r="AI64">
            <v>299.01678161894262</v>
          </cell>
          <cell r="AJ64">
            <v>0</v>
          </cell>
          <cell r="AK64">
            <v>38.982932935520211</v>
          </cell>
          <cell r="AL64">
            <v>0</v>
          </cell>
          <cell r="AM64">
            <v>45.156732438871323</v>
          </cell>
          <cell r="AN64">
            <v>122.5239344614284</v>
          </cell>
          <cell r="AO64">
            <v>12292.614750116529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17.116320115120551</v>
          </cell>
          <cell r="AU64">
            <v>0.46975283802046069</v>
          </cell>
          <cell r="AV64">
            <v>5.5705230705695774</v>
          </cell>
          <cell r="AW64">
            <v>3.5037605614476841</v>
          </cell>
          <cell r="AX64">
            <v>27.63803382106596</v>
          </cell>
          <cell r="AY64">
            <v>0</v>
          </cell>
          <cell r="AZ64">
            <v>0</v>
          </cell>
          <cell r="BA64">
            <v>0</v>
          </cell>
          <cell r="BB64">
            <v>104.40327901349893</v>
          </cell>
          <cell r="BC64">
            <v>8.487044297166932</v>
          </cell>
          <cell r="BD64">
            <v>31.552421150995894</v>
          </cell>
          <cell r="BE64">
            <v>3.1363167455859755</v>
          </cell>
          <cell r="BF64">
            <v>112.40562281792981</v>
          </cell>
          <cell r="BG64">
            <v>362.23578866472656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2747.7589115263095</v>
          </cell>
        </row>
        <row r="65">
          <cell r="A65" t="str">
            <v>P61</v>
          </cell>
          <cell r="B65" t="str">
            <v>Tanks, reservoirs</v>
          </cell>
          <cell r="C65">
            <v>3959.2123475025787</v>
          </cell>
          <cell r="E65">
            <v>416.87123985219523</v>
          </cell>
          <cell r="F65">
            <v>39.419285117144483</v>
          </cell>
          <cell r="G65">
            <v>2.6472125899476318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283.72795379229922</v>
          </cell>
          <cell r="AN65">
            <v>0</v>
          </cell>
          <cell r="AO65">
            <v>594.99744700296981</v>
          </cell>
          <cell r="AP65">
            <v>1115.71945422574</v>
          </cell>
          <cell r="AQ65">
            <v>377.71444411281527</v>
          </cell>
          <cell r="AR65">
            <v>0</v>
          </cell>
          <cell r="AS65">
            <v>0</v>
          </cell>
          <cell r="AT65">
            <v>5.3680563216923858</v>
          </cell>
          <cell r="AU65">
            <v>0.14732487326765223</v>
          </cell>
          <cell r="AV65">
            <v>1.7470391639665928</v>
          </cell>
          <cell r="AW65">
            <v>1.0988567580575046</v>
          </cell>
          <cell r="AX65">
            <v>8.6678983084254693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127.88714380042688</v>
          </cell>
          <cell r="BH65">
            <v>40.662532866969002</v>
          </cell>
          <cell r="BI65">
            <v>229.3284949307255</v>
          </cell>
          <cell r="BJ65">
            <v>0.96309033805489297</v>
          </cell>
          <cell r="BK65">
            <v>2.7454697780139217</v>
          </cell>
          <cell r="BL65">
            <v>53.069200831748979</v>
          </cell>
          <cell r="BM65">
            <v>5.3183077388422513</v>
          </cell>
          <cell r="BN65">
            <v>175.57980088177618</v>
          </cell>
        </row>
        <row r="66">
          <cell r="A66" t="str">
            <v>P62</v>
          </cell>
          <cell r="B66" t="str">
            <v xml:space="preserve">Other fabricated metal </v>
          </cell>
          <cell r="C66">
            <v>50144.612576582105</v>
          </cell>
          <cell r="E66">
            <v>1679.6762469076059</v>
          </cell>
          <cell r="F66">
            <v>169.81818219828659</v>
          </cell>
          <cell r="G66">
            <v>14.255231563097423</v>
          </cell>
          <cell r="H66">
            <v>1003.2669384897611</v>
          </cell>
          <cell r="I66">
            <v>2839.080939028031</v>
          </cell>
          <cell r="J66">
            <v>3632.4197639224217</v>
          </cell>
          <cell r="K66">
            <v>636.52585554496761</v>
          </cell>
          <cell r="L66">
            <v>0</v>
          </cell>
          <cell r="M66">
            <v>23.87683173202748</v>
          </cell>
          <cell r="N66">
            <v>28.675512000447</v>
          </cell>
          <cell r="O66">
            <v>33.721083588680052</v>
          </cell>
          <cell r="P66">
            <v>98.354244943966137</v>
          </cell>
          <cell r="Q66">
            <v>72.831767648946538</v>
          </cell>
          <cell r="R66">
            <v>390.13044197713566</v>
          </cell>
          <cell r="S66">
            <v>66.360712236952452</v>
          </cell>
          <cell r="T66">
            <v>269.77431612714349</v>
          </cell>
          <cell r="U66">
            <v>0</v>
          </cell>
          <cell r="V66">
            <v>932.185572412076</v>
          </cell>
          <cell r="W66">
            <v>46.539411812959067</v>
          </cell>
          <cell r="X66">
            <v>122.96745660046403</v>
          </cell>
          <cell r="Y66">
            <v>812.89369882275514</v>
          </cell>
          <cell r="Z66">
            <v>0</v>
          </cell>
          <cell r="AA66">
            <v>111.2336345683244</v>
          </cell>
          <cell r="AB66">
            <v>118.52491894899991</v>
          </cell>
          <cell r="AC66">
            <v>9.9769385264780977E-2</v>
          </cell>
          <cell r="AD66">
            <v>3675.7461357884831</v>
          </cell>
          <cell r="AE66">
            <v>2248.7170165613543</v>
          </cell>
          <cell r="AF66">
            <v>1550.0803580580155</v>
          </cell>
          <cell r="AG66">
            <v>65.759775072590713</v>
          </cell>
          <cell r="AH66">
            <v>104.96693384934004</v>
          </cell>
          <cell r="AI66">
            <v>5621.3424684775528</v>
          </cell>
          <cell r="AJ66">
            <v>79.764397457482175</v>
          </cell>
          <cell r="AK66">
            <v>1511.2682104431669</v>
          </cell>
          <cell r="AL66">
            <v>46.283382440071733</v>
          </cell>
          <cell r="AM66">
            <v>130.47204586601072</v>
          </cell>
          <cell r="AN66">
            <v>263.30614446609258</v>
          </cell>
          <cell r="AO66">
            <v>4282.245923819949</v>
          </cell>
          <cell r="AP66">
            <v>1229.4870232844498</v>
          </cell>
          <cell r="AQ66">
            <v>416.22919254919242</v>
          </cell>
          <cell r="AR66">
            <v>0</v>
          </cell>
          <cell r="AS66">
            <v>164.79504940619239</v>
          </cell>
          <cell r="AT66">
            <v>334.40485843194364</v>
          </cell>
          <cell r="AU66">
            <v>9.1776521027709208</v>
          </cell>
          <cell r="AV66">
            <v>108.83238723492285</v>
          </cell>
          <cell r="AW66">
            <v>68.453648135224981</v>
          </cell>
          <cell r="AX66">
            <v>539.96961526246446</v>
          </cell>
          <cell r="AY66">
            <v>36.686202499639691</v>
          </cell>
          <cell r="AZ66">
            <v>6.3207675958980722</v>
          </cell>
          <cell r="BA66">
            <v>2.2671334867593291</v>
          </cell>
          <cell r="BB66">
            <v>700.88400419605296</v>
          </cell>
          <cell r="BC66">
            <v>56.975543747227434</v>
          </cell>
          <cell r="BD66">
            <v>211.81889579857625</v>
          </cell>
          <cell r="BE66">
            <v>21.054839080190213</v>
          </cell>
          <cell r="BF66">
            <v>754.60563843589125</v>
          </cell>
          <cell r="BG66">
            <v>1791.3778427536486</v>
          </cell>
          <cell r="BH66">
            <v>62.363984518012877</v>
          </cell>
          <cell r="BI66">
            <v>351.72031103395921</v>
          </cell>
          <cell r="BJ66">
            <v>1.4770882848936526</v>
          </cell>
          <cell r="BK66">
            <v>4.210717401468516</v>
          </cell>
          <cell r="BL66">
            <v>81.392047806814048</v>
          </cell>
          <cell r="BM66">
            <v>8.1566699883717408</v>
          </cell>
          <cell r="BN66">
            <v>1396.8271373431141</v>
          </cell>
        </row>
        <row r="67">
          <cell r="A67" t="str">
            <v>P63</v>
          </cell>
          <cell r="B67" t="str">
            <v>Engines, turbines</v>
          </cell>
          <cell r="C67">
            <v>15523.95009199095</v>
          </cell>
          <cell r="E67">
            <v>0</v>
          </cell>
          <cell r="F67">
            <v>0</v>
          </cell>
          <cell r="G67">
            <v>0</v>
          </cell>
          <cell r="H67">
            <v>2.5320909572513175</v>
          </cell>
          <cell r="I67">
            <v>15.85085541799678</v>
          </cell>
          <cell r="J67">
            <v>86.520518580592793</v>
          </cell>
          <cell r="K67">
            <v>14.790669010418911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108.44662452901436</v>
          </cell>
          <cell r="AE67">
            <v>412.15390735618234</v>
          </cell>
          <cell r="AF67">
            <v>38.308311204341358</v>
          </cell>
          <cell r="AG67">
            <v>0</v>
          </cell>
          <cell r="AH67">
            <v>0</v>
          </cell>
          <cell r="AI67">
            <v>316.55152663117065</v>
          </cell>
          <cell r="AJ67">
            <v>114.43558877467972</v>
          </cell>
          <cell r="AK67">
            <v>0</v>
          </cell>
          <cell r="AL67">
            <v>2.7257579208561493</v>
          </cell>
          <cell r="AM67">
            <v>163.57147120051715</v>
          </cell>
          <cell r="AN67">
            <v>4.4026185889339091</v>
          </cell>
          <cell r="AO67">
            <v>0</v>
          </cell>
          <cell r="AP67">
            <v>22.586369447696413</v>
          </cell>
          <cell r="AQ67">
            <v>7.6463648170261731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17.675168578541211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7.0501229369266412</v>
          </cell>
        </row>
        <row r="68">
          <cell r="A68" t="str">
            <v>P64</v>
          </cell>
          <cell r="B68" t="str">
            <v>Pumps, compressors</v>
          </cell>
          <cell r="C68">
            <v>14112.859223120224</v>
          </cell>
          <cell r="E68">
            <v>0</v>
          </cell>
          <cell r="F68">
            <v>0</v>
          </cell>
          <cell r="G68">
            <v>0</v>
          </cell>
          <cell r="H68">
            <v>326.51429165784737</v>
          </cell>
          <cell r="I68">
            <v>1279.7171495319903</v>
          </cell>
          <cell r="J68">
            <v>2110.0411426645614</v>
          </cell>
          <cell r="K68">
            <v>369.41277510953478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1.3671425310973728</v>
          </cell>
          <cell r="AE68">
            <v>587.69548946334226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342.2685934365486</v>
          </cell>
          <cell r="AO68">
            <v>179.71071312662804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575.94031854500724</v>
          </cell>
          <cell r="BC68">
            <v>46.818749776852428</v>
          </cell>
          <cell r="BD68">
            <v>174.05881941908413</v>
          </cell>
          <cell r="BE68">
            <v>17.301480208081152</v>
          </cell>
          <cell r="BF68">
            <v>620.08521977205419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38.029742093855901</v>
          </cell>
        </row>
        <row r="69">
          <cell r="A69" t="str">
            <v>P65</v>
          </cell>
          <cell r="B69" t="str">
            <v>Bearings, gears</v>
          </cell>
          <cell r="C69">
            <v>7624.2261707925882</v>
          </cell>
          <cell r="E69">
            <v>0</v>
          </cell>
          <cell r="F69">
            <v>0</v>
          </cell>
          <cell r="G69">
            <v>0</v>
          </cell>
          <cell r="H69">
            <v>92.401436781976287</v>
          </cell>
          <cell r="I69">
            <v>154.82430112627466</v>
          </cell>
          <cell r="J69">
            <v>311.63727754080912</v>
          </cell>
          <cell r="K69">
            <v>54.373819697732728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55.794142280902491</v>
          </cell>
          <cell r="AE69">
            <v>834.96111631835231</v>
          </cell>
          <cell r="AF69">
            <v>84.339219289167389</v>
          </cell>
          <cell r="AG69">
            <v>0</v>
          </cell>
          <cell r="AH69">
            <v>0</v>
          </cell>
          <cell r="AI69">
            <v>2025.4504851911659</v>
          </cell>
          <cell r="AJ69">
            <v>20.031506057847011</v>
          </cell>
          <cell r="AK69">
            <v>9.358141992695139E-2</v>
          </cell>
          <cell r="AL69">
            <v>0</v>
          </cell>
          <cell r="AM69">
            <v>0</v>
          </cell>
          <cell r="AN69">
            <v>17.362171296614871</v>
          </cell>
          <cell r="AO69">
            <v>52.92570996493896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115.7968418198262</v>
          </cell>
          <cell r="AU69">
            <v>3.1780134230263961</v>
          </cell>
          <cell r="AV69">
            <v>37.686195076861523</v>
          </cell>
          <cell r="AW69">
            <v>23.703950661105395</v>
          </cell>
          <cell r="AX69">
            <v>186.97926943781383</v>
          </cell>
          <cell r="AY69">
            <v>0</v>
          </cell>
          <cell r="AZ69">
            <v>0</v>
          </cell>
          <cell r="BA69">
            <v>0</v>
          </cell>
          <cell r="BB69">
            <v>129.45295697423705</v>
          </cell>
          <cell r="BC69">
            <v>10.523357030745604</v>
          </cell>
          <cell r="BD69">
            <v>39.122853767502562</v>
          </cell>
          <cell r="BE69">
            <v>3.8888192072149792</v>
          </cell>
          <cell r="BF69">
            <v>139.37531839809779</v>
          </cell>
          <cell r="BG69">
            <v>208.36937194828388</v>
          </cell>
          <cell r="BH69">
            <v>82.548096957735964</v>
          </cell>
          <cell r="BI69">
            <v>465.55463961495968</v>
          </cell>
          <cell r="BJ69">
            <v>1.955148117922445</v>
          </cell>
          <cell r="BK69">
            <v>5.5735166860234129</v>
          </cell>
          <cell r="BL69">
            <v>107.73459563035162</v>
          </cell>
          <cell r="BM69">
            <v>10.79657738767307</v>
          </cell>
          <cell r="BN69">
            <v>132.47210665926153</v>
          </cell>
        </row>
        <row r="70">
          <cell r="A70" t="str">
            <v>P66</v>
          </cell>
          <cell r="B70" t="str">
            <v>Lifting equipment</v>
          </cell>
          <cell r="C70">
            <v>8830.0097208481438</v>
          </cell>
          <cell r="E70">
            <v>448.43933173060765</v>
          </cell>
          <cell r="F70">
            <v>45.624943650522233</v>
          </cell>
          <cell r="G70">
            <v>4.5959328621151272</v>
          </cell>
          <cell r="H70">
            <v>38.993988981216283</v>
          </cell>
          <cell r="I70">
            <v>130.84623611598653</v>
          </cell>
          <cell r="J70">
            <v>257.40703860090275</v>
          </cell>
          <cell r="K70">
            <v>45.151956596185471</v>
          </cell>
          <cell r="L70">
            <v>0</v>
          </cell>
          <cell r="M70">
            <v>0</v>
          </cell>
          <cell r="N70">
            <v>2.3278844446350713E-2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26.757471270040725</v>
          </cell>
          <cell r="AE70">
            <v>774.57651433416618</v>
          </cell>
          <cell r="AF70">
            <v>0</v>
          </cell>
          <cell r="AG70">
            <v>0</v>
          </cell>
          <cell r="AH70">
            <v>0</v>
          </cell>
          <cell r="AI70">
            <v>5.1126183877655675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91.312155509652953</v>
          </cell>
          <cell r="AO70">
            <v>0</v>
          </cell>
          <cell r="AP70">
            <v>2204.0593401594169</v>
          </cell>
          <cell r="AQ70">
            <v>746.15983911268711</v>
          </cell>
          <cell r="AR70">
            <v>0</v>
          </cell>
          <cell r="AS70">
            <v>0</v>
          </cell>
          <cell r="AT70">
            <v>308.09343561017113</v>
          </cell>
          <cell r="AU70">
            <v>8.4555421247059446</v>
          </cell>
          <cell r="AV70">
            <v>100.26930902287785</v>
          </cell>
          <cell r="AW70">
            <v>63.067623278337294</v>
          </cell>
          <cell r="AX70">
            <v>497.48408163505479</v>
          </cell>
          <cell r="AY70">
            <v>0</v>
          </cell>
          <cell r="AZ70">
            <v>0</v>
          </cell>
          <cell r="BA70">
            <v>0</v>
          </cell>
          <cell r="BB70">
            <v>237.78806375903585</v>
          </cell>
          <cell r="BC70">
            <v>19.330023439202229</v>
          </cell>
          <cell r="BD70">
            <v>71.863539184769593</v>
          </cell>
          <cell r="BE70">
            <v>7.1432496499607634</v>
          </cell>
          <cell r="BF70">
            <v>256.01413727674537</v>
          </cell>
          <cell r="BG70">
            <v>74.400715976367465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23.29083820384642</v>
          </cell>
        </row>
        <row r="71">
          <cell r="A71" t="str">
            <v>P67</v>
          </cell>
          <cell r="B71" t="str">
            <v>General machinery</v>
          </cell>
          <cell r="C71">
            <v>19870.935961798776</v>
          </cell>
          <cell r="E71">
            <v>53.473226407955124</v>
          </cell>
          <cell r="F71">
            <v>5.3390777361974138</v>
          </cell>
          <cell r="G71">
            <v>0.62745757767920052</v>
          </cell>
          <cell r="H71">
            <v>20.157248984117945</v>
          </cell>
          <cell r="I71">
            <v>23.446133806280287</v>
          </cell>
          <cell r="J71">
            <v>42.424933012243429</v>
          </cell>
          <cell r="K71">
            <v>7.431467772496835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2.1211484293791134</v>
          </cell>
          <cell r="Z71">
            <v>0</v>
          </cell>
          <cell r="AA71">
            <v>0</v>
          </cell>
          <cell r="AB71">
            <v>117.56779816933334</v>
          </cell>
          <cell r="AC71">
            <v>0</v>
          </cell>
          <cell r="AD71">
            <v>130.95953089125999</v>
          </cell>
          <cell r="AE71">
            <v>496.56218261391751</v>
          </cell>
          <cell r="AF71">
            <v>176.50042120465218</v>
          </cell>
          <cell r="AG71">
            <v>2.8065213110541587E-3</v>
          </cell>
          <cell r="AH71">
            <v>0</v>
          </cell>
          <cell r="AI71">
            <v>107.43789189028011</v>
          </cell>
          <cell r="AJ71">
            <v>10.677191771817395</v>
          </cell>
          <cell r="AK71">
            <v>3.4094885231361748E-2</v>
          </cell>
          <cell r="AL71">
            <v>0.21376669392004508</v>
          </cell>
          <cell r="AM71">
            <v>76.172464465739637</v>
          </cell>
          <cell r="AN71">
            <v>11.613704695553555</v>
          </cell>
          <cell r="AO71">
            <v>16.425867387655504</v>
          </cell>
          <cell r="AP71">
            <v>200.93461848372283</v>
          </cell>
          <cell r="AQ71">
            <v>68.024186040807507</v>
          </cell>
          <cell r="AR71">
            <v>0</v>
          </cell>
          <cell r="AS71">
            <v>3.7245485821644073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0.80738905056659727</v>
          </cell>
          <cell r="AZ71">
            <v>0.13910729921294993</v>
          </cell>
          <cell r="BA71">
            <v>4.9895018526388502E-2</v>
          </cell>
          <cell r="BB71">
            <v>96.274144568996007</v>
          </cell>
          <cell r="BC71">
            <v>7.8262190359296744</v>
          </cell>
          <cell r="BD71">
            <v>29.095660443768907</v>
          </cell>
          <cell r="BE71">
            <v>2.8921142576342369</v>
          </cell>
          <cell r="BF71">
            <v>103.65340326276753</v>
          </cell>
          <cell r="BG71">
            <v>20.419821330862675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5.6728790536393836</v>
          </cell>
        </row>
        <row r="72">
          <cell r="A72" t="str">
            <v>P68</v>
          </cell>
          <cell r="B72" t="str">
            <v>Special machinery</v>
          </cell>
          <cell r="C72">
            <v>71112.093371119889</v>
          </cell>
          <cell r="E72">
            <v>464.1304506152444</v>
          </cell>
          <cell r="F72">
            <v>47.143546045046399</v>
          </cell>
          <cell r="G72">
            <v>3.5788857448097331</v>
          </cell>
          <cell r="H72">
            <v>468.0256608428503</v>
          </cell>
          <cell r="I72">
            <v>344.14897916634141</v>
          </cell>
          <cell r="J72">
            <v>1603.0426152672185</v>
          </cell>
          <cell r="K72">
            <v>280.36106469660302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8.6917669361200627</v>
          </cell>
          <cell r="S72">
            <v>0</v>
          </cell>
          <cell r="T72">
            <v>8.485997651366757E-2</v>
          </cell>
          <cell r="U72">
            <v>0</v>
          </cell>
          <cell r="V72">
            <v>0.82403550477319409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88.473654508300001</v>
          </cell>
          <cell r="AE72">
            <v>555.1659251227137</v>
          </cell>
          <cell r="AF72">
            <v>47.863423406414107</v>
          </cell>
          <cell r="AG72">
            <v>4.1045656148385101E-3</v>
          </cell>
          <cell r="AH72">
            <v>18.041044659786778</v>
          </cell>
          <cell r="AI72">
            <v>287.71161234471799</v>
          </cell>
          <cell r="AJ72">
            <v>12.96825035641004</v>
          </cell>
          <cell r="AK72">
            <v>0.74163277653854476</v>
          </cell>
          <cell r="AL72">
            <v>0</v>
          </cell>
          <cell r="AM72">
            <v>41.723722258377101</v>
          </cell>
          <cell r="AN72">
            <v>6.0822689754418793</v>
          </cell>
          <cell r="AO72">
            <v>371.17492686917768</v>
          </cell>
          <cell r="AP72">
            <v>103.68464566465454</v>
          </cell>
          <cell r="AQ72">
            <v>35.101286575160358</v>
          </cell>
          <cell r="AR72">
            <v>0</v>
          </cell>
          <cell r="AS72">
            <v>0</v>
          </cell>
          <cell r="AT72">
            <v>3.3469037207343533</v>
          </cell>
          <cell r="AU72">
            <v>9.1854879484714755E-2</v>
          </cell>
          <cell r="AV72">
            <v>1.0892530792793318</v>
          </cell>
          <cell r="AW72">
            <v>0.68512093608906799</v>
          </cell>
          <cell r="AX72">
            <v>5.4043063933930098</v>
          </cell>
          <cell r="AY72">
            <v>0</v>
          </cell>
          <cell r="AZ72">
            <v>0</v>
          </cell>
          <cell r="BA72">
            <v>0</v>
          </cell>
          <cell r="BB72">
            <v>206.96188043086494</v>
          </cell>
          <cell r="BC72">
            <v>16.824132954814694</v>
          </cell>
          <cell r="BD72">
            <v>62.54734980797322</v>
          </cell>
          <cell r="BE72">
            <v>6.2172186297842122</v>
          </cell>
          <cell r="BF72">
            <v>222.8251764620673</v>
          </cell>
          <cell r="BG72">
            <v>248.8432072478667</v>
          </cell>
          <cell r="BH72">
            <v>3.2520850980522882</v>
          </cell>
          <cell r="BI72">
            <v>18.341104902709969</v>
          </cell>
          <cell r="BJ72">
            <v>7.7025495354980558E-2</v>
          </cell>
          <cell r="BK72">
            <v>0.21957563198146765</v>
          </cell>
          <cell r="BL72">
            <v>4.2443385844925876</v>
          </cell>
          <cell r="BM72">
            <v>0.42534461394544976</v>
          </cell>
          <cell r="BN72">
            <v>80.742774996443515</v>
          </cell>
        </row>
        <row r="73">
          <cell r="A73" t="str">
            <v>P69</v>
          </cell>
          <cell r="B73" t="str">
            <v>Domestic appliances</v>
          </cell>
          <cell r="C73">
            <v>17936.43874293812</v>
          </cell>
          <cell r="E73">
            <v>0</v>
          </cell>
          <cell r="F73">
            <v>0</v>
          </cell>
          <cell r="G73">
            <v>0</v>
          </cell>
          <cell r="H73">
            <v>1.8565404124475875</v>
          </cell>
          <cell r="I73">
            <v>3.3128028397877465</v>
          </cell>
          <cell r="J73">
            <v>9.9187092114699702</v>
          </cell>
          <cell r="K73">
            <v>1.7895812518719789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14.381840434103946</v>
          </cell>
          <cell r="AE73">
            <v>376.11536780093172</v>
          </cell>
          <cell r="AF73">
            <v>0</v>
          </cell>
          <cell r="AG73">
            <v>0</v>
          </cell>
          <cell r="AH73">
            <v>0</v>
          </cell>
          <cell r="AI73">
            <v>3.0384839856311741E-3</v>
          </cell>
          <cell r="AJ73">
            <v>0</v>
          </cell>
          <cell r="AK73">
            <v>0</v>
          </cell>
          <cell r="AL73">
            <v>0</v>
          </cell>
          <cell r="AM73">
            <v>4.4928253015094537</v>
          </cell>
          <cell r="AN73">
            <v>8.77257431732858</v>
          </cell>
          <cell r="AO73">
            <v>5.3867969744479849</v>
          </cell>
          <cell r="AP73">
            <v>3.2763953536517008</v>
          </cell>
          <cell r="AQ73">
            <v>0</v>
          </cell>
          <cell r="AR73">
            <v>0</v>
          </cell>
          <cell r="AS73">
            <v>5.7947626624414914</v>
          </cell>
          <cell r="AT73">
            <v>1.240434145260785</v>
          </cell>
          <cell r="AU73">
            <v>3.4043384103279582E-2</v>
          </cell>
          <cell r="AV73">
            <v>0.40370050204852803</v>
          </cell>
          <cell r="AW73">
            <v>0.25392048103835108</v>
          </cell>
          <cell r="AX73">
            <v>2.0029516057740069</v>
          </cell>
          <cell r="AY73">
            <v>0</v>
          </cell>
          <cell r="AZ73">
            <v>0</v>
          </cell>
          <cell r="BA73">
            <v>0</v>
          </cell>
          <cell r="BB73">
            <v>30.965683750354447</v>
          </cell>
          <cell r="BC73">
            <v>2.5172306096568047</v>
          </cell>
          <cell r="BD73">
            <v>9.35834874298736</v>
          </cell>
          <cell r="BE73">
            <v>0.93022166930407058</v>
          </cell>
          <cell r="BF73">
            <v>33.339153720369396</v>
          </cell>
          <cell r="BG73">
            <v>29.650945916642783</v>
          </cell>
          <cell r="BH73">
            <v>5.1784828757497667</v>
          </cell>
          <cell r="BI73">
            <v>29.20560034480593</v>
          </cell>
          <cell r="BJ73">
            <v>0.12265214367569968</v>
          </cell>
          <cell r="BK73">
            <v>0.34964295701517129</v>
          </cell>
          <cell r="BL73">
            <v>6.7585053945367282</v>
          </cell>
          <cell r="BM73">
            <v>0.67730078801692872</v>
          </cell>
          <cell r="BN73">
            <v>10.913017120308879</v>
          </cell>
        </row>
        <row r="74">
          <cell r="A74" t="str">
            <v>P70</v>
          </cell>
          <cell r="B74" t="str">
            <v>Office machinery</v>
          </cell>
          <cell r="C74">
            <v>28125.31815803242</v>
          </cell>
          <cell r="E74">
            <v>0</v>
          </cell>
          <cell r="F74">
            <v>0</v>
          </cell>
          <cell r="G74">
            <v>0</v>
          </cell>
          <cell r="H74">
            <v>0.10443373462595117</v>
          </cell>
          <cell r="I74">
            <v>1.0959989799534646</v>
          </cell>
          <cell r="J74">
            <v>2.7820171421047619</v>
          </cell>
          <cell r="K74">
            <v>0.52145289778614301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1163.1206119952838</v>
          </cell>
          <cell r="AF74">
            <v>0.92103594316349835</v>
          </cell>
          <cell r="AG74">
            <v>0</v>
          </cell>
          <cell r="AH74">
            <v>0</v>
          </cell>
          <cell r="AI74">
            <v>2.9487158847256164E-2</v>
          </cell>
          <cell r="AJ74">
            <v>0</v>
          </cell>
          <cell r="AK74">
            <v>0</v>
          </cell>
          <cell r="AL74">
            <v>0</v>
          </cell>
          <cell r="AM74">
            <v>1.4085468699350334</v>
          </cell>
          <cell r="AN74">
            <v>1.6735347277340937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1.5575201288540881</v>
          </cell>
          <cell r="AT74">
            <v>4.3199362516579392</v>
          </cell>
          <cell r="AU74">
            <v>0.11855949763939805</v>
          </cell>
          <cell r="AV74">
            <v>1.4059274652144582</v>
          </cell>
          <cell r="AW74">
            <v>0.88430352813723023</v>
          </cell>
          <cell r="AX74">
            <v>6.9754797424417516</v>
          </cell>
          <cell r="AY74">
            <v>4.3591694415265829</v>
          </cell>
          <cell r="AZ74">
            <v>0.7510533953821168</v>
          </cell>
          <cell r="BA74">
            <v>0.26938789904569538</v>
          </cell>
          <cell r="BB74">
            <v>62.314488308798275</v>
          </cell>
          <cell r="BC74">
            <v>5.0656054831733845</v>
          </cell>
          <cell r="BD74">
            <v>18.83248301687717</v>
          </cell>
          <cell r="BE74">
            <v>1.8719524427028342</v>
          </cell>
          <cell r="BF74">
            <v>67.090793843988536</v>
          </cell>
          <cell r="BG74">
            <v>802.35920572494365</v>
          </cell>
          <cell r="BH74">
            <v>9.3116985482829797</v>
          </cell>
          <cell r="BI74">
            <v>52.516104206116118</v>
          </cell>
          <cell r="BJ74">
            <v>0.2205471787030758</v>
          </cell>
          <cell r="BK74">
            <v>0.6287111289875903</v>
          </cell>
          <cell r="BL74">
            <v>12.152818958923092</v>
          </cell>
          <cell r="BM74">
            <v>1.2178896630251042</v>
          </cell>
          <cell r="BN74">
            <v>15.987954754292929</v>
          </cell>
        </row>
        <row r="75">
          <cell r="A75" t="str">
            <v>P71</v>
          </cell>
          <cell r="B75" t="str">
            <v>Electrical machinery</v>
          </cell>
          <cell r="C75">
            <v>60875.722786914666</v>
          </cell>
          <cell r="E75">
            <v>134.32996789021493</v>
          </cell>
          <cell r="F75">
            <v>13.287677407805354</v>
          </cell>
          <cell r="G75">
            <v>1.4697323776719449</v>
          </cell>
          <cell r="H75">
            <v>556.26769297305486</v>
          </cell>
          <cell r="I75">
            <v>554.89907908263899</v>
          </cell>
          <cell r="J75">
            <v>1126.3398730671283</v>
          </cell>
          <cell r="K75">
            <v>193.87212919425582</v>
          </cell>
          <cell r="L75">
            <v>0</v>
          </cell>
          <cell r="M75">
            <v>0</v>
          </cell>
          <cell r="N75">
            <v>5.1597228985898456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7.5506690781688257E-2</v>
          </cell>
          <cell r="U75">
            <v>0</v>
          </cell>
          <cell r="V75">
            <v>2.9984634403077037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24.451060804705413</v>
          </cell>
          <cell r="AC75">
            <v>0</v>
          </cell>
          <cell r="AD75">
            <v>289.96340251904587</v>
          </cell>
          <cell r="AE75">
            <v>1248.5207145480351</v>
          </cell>
          <cell r="AF75">
            <v>2182.9056247762996</v>
          </cell>
          <cell r="AG75">
            <v>842.27164137858642</v>
          </cell>
          <cell r="AH75">
            <v>131.47308009691926</v>
          </cell>
          <cell r="AI75">
            <v>1741.1272225708676</v>
          </cell>
          <cell r="AJ75">
            <v>695.83446863216477</v>
          </cell>
          <cell r="AK75">
            <v>2.655429499610114</v>
          </cell>
          <cell r="AL75">
            <v>42.907264443523218</v>
          </cell>
          <cell r="AM75">
            <v>3170.0752244687715</v>
          </cell>
          <cell r="AN75">
            <v>220.28194323425723</v>
          </cell>
          <cell r="AO75">
            <v>8389.7032421219646</v>
          </cell>
          <cell r="AP75">
            <v>586.30747602019005</v>
          </cell>
          <cell r="AQ75">
            <v>198.48789186689851</v>
          </cell>
          <cell r="AR75">
            <v>0</v>
          </cell>
          <cell r="AS75">
            <v>42.042691790022282</v>
          </cell>
          <cell r="AT75">
            <v>500.60909435947821</v>
          </cell>
          <cell r="AU75">
            <v>13.739083005726</v>
          </cell>
          <cell r="AV75">
            <v>162.92371787338377</v>
          </cell>
          <cell r="AW75">
            <v>102.47613913047221</v>
          </cell>
          <cell r="AX75">
            <v>808.34262201125694</v>
          </cell>
          <cell r="AY75">
            <v>5.9887901995191193</v>
          </cell>
          <cell r="AZ75">
            <v>1.0318252763317255</v>
          </cell>
          <cell r="BA75">
            <v>0.37009518242285533</v>
          </cell>
          <cell r="BB75">
            <v>263.12170642774004</v>
          </cell>
          <cell r="BC75">
            <v>21.389419940629097</v>
          </cell>
          <cell r="BD75">
            <v>79.519790696452745</v>
          </cell>
          <cell r="BE75">
            <v>7.9042825263158649</v>
          </cell>
          <cell r="BF75">
            <v>283.28956300407589</v>
          </cell>
          <cell r="BG75">
            <v>1483.8061545372132</v>
          </cell>
          <cell r="BH75">
            <v>31.48493244502075</v>
          </cell>
          <cell r="BI75">
            <v>177.56867714646251</v>
          </cell>
          <cell r="BJ75">
            <v>0.74571926769329122</v>
          </cell>
          <cell r="BK75">
            <v>2.1258127420004498</v>
          </cell>
          <cell r="BL75">
            <v>41.091395082674545</v>
          </cell>
          <cell r="BM75">
            <v>4.1179569513560752</v>
          </cell>
          <cell r="BN75">
            <v>4024.4059664783731</v>
          </cell>
        </row>
        <row r="76">
          <cell r="A76" t="str">
            <v>P72</v>
          </cell>
          <cell r="B76" t="str">
            <v>Radio, television</v>
          </cell>
          <cell r="C76">
            <v>53926.424552892931</v>
          </cell>
          <cell r="E76">
            <v>0</v>
          </cell>
          <cell r="F76">
            <v>0</v>
          </cell>
          <cell r="G76">
            <v>0</v>
          </cell>
          <cell r="H76">
            <v>103.51153499256142</v>
          </cell>
          <cell r="I76">
            <v>58.813934956208968</v>
          </cell>
          <cell r="J76">
            <v>160.48413921236678</v>
          </cell>
          <cell r="K76">
            <v>25.567965390194793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229.95583121770042</v>
          </cell>
          <cell r="U76">
            <v>0</v>
          </cell>
          <cell r="V76">
            <v>19.436736876919046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19.298383815983208</v>
          </cell>
          <cell r="AC76">
            <v>0</v>
          </cell>
          <cell r="AD76">
            <v>62.484257800223332</v>
          </cell>
          <cell r="AE76">
            <v>4447.6000305530169</v>
          </cell>
          <cell r="AF76">
            <v>3320.7515692171287</v>
          </cell>
          <cell r="AG76">
            <v>2591.7587681825717</v>
          </cell>
          <cell r="AH76">
            <v>1052.6012840795952</v>
          </cell>
          <cell r="AI76">
            <v>6164.3214840853161</v>
          </cell>
          <cell r="AJ76">
            <v>169.79688028458779</v>
          </cell>
          <cell r="AK76">
            <v>0</v>
          </cell>
          <cell r="AL76">
            <v>20.1839480869601</v>
          </cell>
          <cell r="AM76">
            <v>0</v>
          </cell>
          <cell r="AN76">
            <v>0</v>
          </cell>
          <cell r="AO76">
            <v>0</v>
          </cell>
          <cell r="AP76">
            <v>494.64463929462244</v>
          </cell>
          <cell r="AQ76">
            <v>167.45645534540543</v>
          </cell>
          <cell r="AR76">
            <v>0</v>
          </cell>
          <cell r="AS76">
            <v>0</v>
          </cell>
          <cell r="AT76">
            <v>260.18859596691851</v>
          </cell>
          <cell r="AU76">
            <v>7.1408065842404413</v>
          </cell>
          <cell r="AV76">
            <v>84.678632251826187</v>
          </cell>
          <cell r="AW76">
            <v>53.261363129215852</v>
          </cell>
          <cell r="AX76">
            <v>420.13126459563892</v>
          </cell>
          <cell r="AY76">
            <v>125.1442546757571</v>
          </cell>
          <cell r="AZ76">
            <v>21.561450787257581</v>
          </cell>
          <cell r="BA76">
            <v>7.7336630972839506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6865.9191496459862</v>
          </cell>
          <cell r="BH76">
            <v>500.72819293496082</v>
          </cell>
          <cell r="BI76">
            <v>2824.0061491210545</v>
          </cell>
          <cell r="BJ76">
            <v>11.859725664042083</v>
          </cell>
          <cell r="BK76">
            <v>33.80837404300464</v>
          </cell>
          <cell r="BL76">
            <v>653.50688113602769</v>
          </cell>
          <cell r="BM76">
            <v>65.49091843970551</v>
          </cell>
          <cell r="BN76">
            <v>775.96844382622749</v>
          </cell>
        </row>
        <row r="77">
          <cell r="A77" t="str">
            <v>P73</v>
          </cell>
          <cell r="B77" t="str">
            <v>Medical appliances</v>
          </cell>
          <cell r="C77">
            <v>26656.916320111166</v>
          </cell>
          <cell r="E77">
            <v>0</v>
          </cell>
          <cell r="F77">
            <v>0</v>
          </cell>
          <cell r="G77">
            <v>0</v>
          </cell>
          <cell r="H77">
            <v>8.5206309069550592</v>
          </cell>
          <cell r="I77">
            <v>15.726671490237301</v>
          </cell>
          <cell r="J77">
            <v>28.266259561828416</v>
          </cell>
          <cell r="K77">
            <v>4.9622127392213908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2.0392354549409206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116.04430397979178</v>
          </cell>
          <cell r="AI77">
            <v>0</v>
          </cell>
          <cell r="AJ77">
            <v>0</v>
          </cell>
          <cell r="AK77">
            <v>0</v>
          </cell>
          <cell r="AL77">
            <v>2.4026244722696162</v>
          </cell>
          <cell r="AM77">
            <v>3.3680511277743865</v>
          </cell>
          <cell r="AN77">
            <v>23.271266870417197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4.9528312057035784</v>
          </cell>
          <cell r="AT77">
            <v>1.1031632116232268</v>
          </cell>
          <cell r="AU77">
            <v>3.0276019960738497E-2</v>
          </cell>
          <cell r="AV77">
            <v>0.35902554285147803</v>
          </cell>
          <cell r="AW77">
            <v>0.22582072126069375</v>
          </cell>
          <cell r="AX77">
            <v>1.781297729180956</v>
          </cell>
          <cell r="AY77">
            <v>22.57806179171742</v>
          </cell>
          <cell r="AZ77">
            <v>3.890036897459562</v>
          </cell>
          <cell r="BA77">
            <v>1.3952787823876409</v>
          </cell>
          <cell r="BB77">
            <v>559.52731737105</v>
          </cell>
          <cell r="BC77">
            <v>45.484520916139985</v>
          </cell>
          <cell r="BD77">
            <v>169.09853531416093</v>
          </cell>
          <cell r="BE77">
            <v>16.808427011729385</v>
          </cell>
          <cell r="BF77">
            <v>602.41418839543132</v>
          </cell>
          <cell r="BG77">
            <v>446.19902180315592</v>
          </cell>
          <cell r="BH77">
            <v>22.802486705523211</v>
          </cell>
          <cell r="BI77">
            <v>128.60143203482912</v>
          </cell>
          <cell r="BJ77">
            <v>0.5400759146401799</v>
          </cell>
          <cell r="BK77">
            <v>1.5395877654348582</v>
          </cell>
          <cell r="BL77">
            <v>29.759822153668424</v>
          </cell>
          <cell r="BM77">
            <v>2.9823681153257122</v>
          </cell>
          <cell r="BN77">
            <v>45.036526863764173</v>
          </cell>
        </row>
        <row r="78">
          <cell r="A78" t="str">
            <v>P74</v>
          </cell>
          <cell r="B78" t="str">
            <v xml:space="preserve">Motor vehicles, parts </v>
          </cell>
          <cell r="C78">
            <v>280656.48483728844</v>
          </cell>
          <cell r="E78">
            <v>1188.186191670904</v>
          </cell>
          <cell r="F78">
            <v>120.41045314468874</v>
          </cell>
          <cell r="G78">
            <v>11.174914709995107</v>
          </cell>
          <cell r="H78">
            <v>689.30196745583999</v>
          </cell>
          <cell r="I78">
            <v>87.711283554684854</v>
          </cell>
          <cell r="J78">
            <v>2270.151408212128</v>
          </cell>
          <cell r="K78">
            <v>400.27645991732294</v>
          </cell>
          <cell r="L78">
            <v>414.66003816412365</v>
          </cell>
          <cell r="M78">
            <v>79.503316482437484</v>
          </cell>
          <cell r="N78">
            <v>22.529023955147672</v>
          </cell>
          <cell r="O78">
            <v>19.704689607689062</v>
          </cell>
          <cell r="P78">
            <v>3.7500766626042061</v>
          </cell>
          <cell r="Q78">
            <v>7.2590180478829192</v>
          </cell>
          <cell r="R78">
            <v>88.520835699622452</v>
          </cell>
          <cell r="S78">
            <v>55.704747976710792</v>
          </cell>
          <cell r="T78">
            <v>61.028351330004696</v>
          </cell>
          <cell r="U78">
            <v>48.277821542303542</v>
          </cell>
          <cell r="V78">
            <v>72.100685556707091</v>
          </cell>
          <cell r="W78">
            <v>166.28380397008942</v>
          </cell>
          <cell r="X78">
            <v>13.91375014029402</v>
          </cell>
          <cell r="Y78">
            <v>66.037854894504648</v>
          </cell>
          <cell r="Z78">
            <v>30.329577418375333</v>
          </cell>
          <cell r="AA78">
            <v>69.915245685387362</v>
          </cell>
          <cell r="AB78">
            <v>84.968163530644176</v>
          </cell>
          <cell r="AC78">
            <v>22.228593281530692</v>
          </cell>
          <cell r="AD78">
            <v>190.59415651095779</v>
          </cell>
          <cell r="AE78">
            <v>256.80409101522156</v>
          </cell>
          <cell r="AF78">
            <v>238.76977659295369</v>
          </cell>
          <cell r="AG78">
            <v>5.6504108190533113</v>
          </cell>
          <cell r="AH78">
            <v>16.383105969678454</v>
          </cell>
          <cell r="AI78">
            <v>51353.141337979054</v>
          </cell>
          <cell r="AJ78">
            <v>1895.1599579026029</v>
          </cell>
          <cell r="AK78">
            <v>29.705619799679447</v>
          </cell>
          <cell r="AL78">
            <v>56.128540630374538</v>
          </cell>
          <cell r="AM78">
            <v>126.10440765661835</v>
          </cell>
          <cell r="AN78">
            <v>35.099414161976341</v>
          </cell>
          <cell r="AO78">
            <v>0</v>
          </cell>
          <cell r="AP78">
            <v>1699.708936405782</v>
          </cell>
          <cell r="AQ78">
            <v>935.14801956172664</v>
          </cell>
          <cell r="AR78">
            <v>6604.6142633636391</v>
          </cell>
          <cell r="AS78">
            <v>0</v>
          </cell>
          <cell r="AT78">
            <v>4531.5116781200186</v>
          </cell>
          <cell r="AU78">
            <v>63.218754741732845</v>
          </cell>
          <cell r="AV78">
            <v>766.19724836721934</v>
          </cell>
          <cell r="AW78">
            <v>671.52639789577302</v>
          </cell>
          <cell r="AX78">
            <v>3789.6819209360369</v>
          </cell>
          <cell r="AY78">
            <v>47.51475128330388</v>
          </cell>
          <cell r="AZ78">
            <v>8.1864483041441041</v>
          </cell>
          <cell r="BA78">
            <v>2.9363160100988264</v>
          </cell>
          <cell r="BB78">
            <v>450.9850449959024</v>
          </cell>
          <cell r="BC78">
            <v>99.803550864434683</v>
          </cell>
          <cell r="BD78">
            <v>120.78759791790033</v>
          </cell>
          <cell r="BE78">
            <v>20.95254385042055</v>
          </cell>
          <cell r="BF78">
            <v>916.96088784398376</v>
          </cell>
          <cell r="BG78">
            <v>10067.863030421417</v>
          </cell>
          <cell r="BH78">
            <v>805.1556794549283</v>
          </cell>
          <cell r="BI78">
            <v>4700.9935260095535</v>
          </cell>
          <cell r="BJ78">
            <v>39.18024042004776</v>
          </cell>
          <cell r="BK78">
            <v>59.493892818898438</v>
          </cell>
          <cell r="BL78">
            <v>1043.8916937195199</v>
          </cell>
          <cell r="BM78">
            <v>129.53874867623048</v>
          </cell>
          <cell r="BN78">
            <v>1483.3599823109432</v>
          </cell>
        </row>
        <row r="79">
          <cell r="A79" t="str">
            <v>P75</v>
          </cell>
          <cell r="B79" t="str">
            <v>Ships and boats</v>
          </cell>
          <cell r="C79">
            <v>3963.5582225253006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0.9321571298925897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</row>
        <row r="80">
          <cell r="A80" t="str">
            <v>P76</v>
          </cell>
          <cell r="B80" t="str">
            <v>Railway and trams</v>
          </cell>
          <cell r="C80">
            <v>2736.9983159877738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78.843285514788079</v>
          </cell>
          <cell r="AE80">
            <v>8.2802778217321116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99.454018020103447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</row>
        <row r="81">
          <cell r="A81" t="str">
            <v>P77</v>
          </cell>
          <cell r="B81" t="str">
            <v xml:space="preserve">Aircrafts </v>
          </cell>
          <cell r="C81">
            <v>11324.344378496759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0.97047855833626362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</row>
        <row r="82">
          <cell r="A82" t="str">
            <v>P78</v>
          </cell>
          <cell r="B82" t="str">
            <v>Other transport equipment</v>
          </cell>
          <cell r="C82">
            <v>4753.4869583290811</v>
          </cell>
          <cell r="E82">
            <v>64.184971533134146</v>
          </cell>
          <cell r="F82">
            <v>6.5028447581427455</v>
          </cell>
          <cell r="G82">
            <v>0.57316910638495233</v>
          </cell>
          <cell r="H82">
            <v>17.743396155802987</v>
          </cell>
          <cell r="I82">
            <v>132.77022239646666</v>
          </cell>
          <cell r="J82">
            <v>184.39322170139991</v>
          </cell>
          <cell r="K82">
            <v>32.275580233755015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3.6124264871307559</v>
          </cell>
          <cell r="AQ82">
            <v>1.2229469131484156</v>
          </cell>
          <cell r="AR82">
            <v>0</v>
          </cell>
          <cell r="AS82">
            <v>0</v>
          </cell>
          <cell r="AT82">
            <v>680.02140590126351</v>
          </cell>
          <cell r="AU82">
            <v>18.663006019301353</v>
          </cell>
          <cell r="AV82">
            <v>221.31362959891041</v>
          </cell>
          <cell r="AW82">
            <v>139.20236165904842</v>
          </cell>
          <cell r="AX82">
            <v>1098.0429490066006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881.42590702431937</v>
          </cell>
          <cell r="BH82">
            <v>1.6468803505514975</v>
          </cell>
          <cell r="BI82">
            <v>9.2880734547098829</v>
          </cell>
          <cell r="BJ82">
            <v>3.9006290108332585E-2</v>
          </cell>
          <cell r="BK82">
            <v>0.11119475132639875</v>
          </cell>
          <cell r="BL82">
            <v>2.1493649782026854</v>
          </cell>
          <cell r="BM82">
            <v>0.21539771125276266</v>
          </cell>
          <cell r="BN82">
            <v>53.313091646205166</v>
          </cell>
        </row>
        <row r="83">
          <cell r="A83" t="str">
            <v>P79</v>
          </cell>
          <cell r="B83" t="str">
            <v>Construction</v>
          </cell>
          <cell r="C83">
            <v>117552.34882963132</v>
          </cell>
          <cell r="E83">
            <v>212.23102400411312</v>
          </cell>
          <cell r="F83">
            <v>21.534482610300184</v>
          </cell>
          <cell r="G83">
            <v>2.0765286979273658</v>
          </cell>
          <cell r="H83">
            <v>2.6962777501820208</v>
          </cell>
          <cell r="I83">
            <v>0.81120377553004952</v>
          </cell>
          <cell r="J83">
            <v>9.4749140999567292</v>
          </cell>
          <cell r="K83">
            <v>2.2627414714186114</v>
          </cell>
          <cell r="L83">
            <v>399.64895846094953</v>
          </cell>
          <cell r="M83">
            <v>144.82795720855995</v>
          </cell>
          <cell r="N83">
            <v>13.774231223155576</v>
          </cell>
          <cell r="O83">
            <v>57.268383632999267</v>
          </cell>
          <cell r="P83">
            <v>3.6149433565908655</v>
          </cell>
          <cell r="Q83">
            <v>43.88044584417468</v>
          </cell>
          <cell r="R83">
            <v>108.11869090099357</v>
          </cell>
          <cell r="S83">
            <v>29.262350876939863</v>
          </cell>
          <cell r="T83">
            <v>706.82059258319714</v>
          </cell>
          <cell r="U83">
            <v>1894.9240727905028</v>
          </cell>
          <cell r="V83">
            <v>346.05755384783043</v>
          </cell>
          <cell r="W83">
            <v>70.66373796427041</v>
          </cell>
          <cell r="X83">
            <v>5.0764367901223606</v>
          </cell>
          <cell r="Y83">
            <v>81.750900441492334</v>
          </cell>
          <cell r="Z83">
            <v>5.0886025423767416</v>
          </cell>
          <cell r="AA83">
            <v>25.285800064580023</v>
          </cell>
          <cell r="AB83">
            <v>384.25772802739385</v>
          </cell>
          <cell r="AC83">
            <v>165.11627553747294</v>
          </cell>
          <cell r="AD83">
            <v>233.37027744647139</v>
          </cell>
          <cell r="AE83">
            <v>124.18188232062697</v>
          </cell>
          <cell r="AF83">
            <v>48.67152253974303</v>
          </cell>
          <cell r="AG83">
            <v>46.563345333075915</v>
          </cell>
          <cell r="AH83">
            <v>12.124147347552915</v>
          </cell>
          <cell r="AI83">
            <v>226.91503414827233</v>
          </cell>
          <cell r="AJ83">
            <v>84.300619018848721</v>
          </cell>
          <cell r="AK83">
            <v>7.6709901310626023</v>
          </cell>
          <cell r="AL83">
            <v>34.089146151896102</v>
          </cell>
          <cell r="AM83">
            <v>18.078202492525524</v>
          </cell>
          <cell r="AN83">
            <v>163.66977164133931</v>
          </cell>
          <cell r="AO83">
            <v>5583.4964885671225</v>
          </cell>
          <cell r="AP83">
            <v>165.59478063557535</v>
          </cell>
          <cell r="AQ83">
            <v>83.218467269433617</v>
          </cell>
          <cell r="AR83">
            <v>35.600429411973174</v>
          </cell>
          <cell r="AS83">
            <v>590.57566163882871</v>
          </cell>
          <cell r="AT83">
            <v>3426.3834434896639</v>
          </cell>
          <cell r="AU83">
            <v>9.8688826381229902</v>
          </cell>
          <cell r="AV83">
            <v>93.891787811556227</v>
          </cell>
          <cell r="AW83">
            <v>494.26443051080662</v>
          </cell>
          <cell r="AX83">
            <v>2641.590928145582</v>
          </cell>
          <cell r="AY83">
            <v>41.460530522464055</v>
          </cell>
          <cell r="AZ83">
            <v>7.1433498148985759</v>
          </cell>
          <cell r="BA83">
            <v>2.5621773506595185</v>
          </cell>
          <cell r="BB83">
            <v>2219.6588693206718</v>
          </cell>
          <cell r="BC83">
            <v>67.747428860722636</v>
          </cell>
          <cell r="BD83">
            <v>315.48624133582791</v>
          </cell>
          <cell r="BE83">
            <v>34.771748185069526</v>
          </cell>
          <cell r="BF83">
            <v>2396.1528337614991</v>
          </cell>
          <cell r="BG83">
            <v>826.3508449219446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607.4616012175062</v>
          </cell>
        </row>
        <row r="84">
          <cell r="A84" t="str">
            <v>P80</v>
          </cell>
          <cell r="B84" t="str">
            <v>Construction services</v>
          </cell>
          <cell r="C84">
            <v>95160.595666404814</v>
          </cell>
          <cell r="E84">
            <v>0</v>
          </cell>
          <cell r="F84">
            <v>0</v>
          </cell>
          <cell r="G84">
            <v>0</v>
          </cell>
          <cell r="H84">
            <v>464.7337295196354</v>
          </cell>
          <cell r="I84">
            <v>85.458362018902378</v>
          </cell>
          <cell r="J84">
            <v>1795.9920847147107</v>
          </cell>
          <cell r="K84">
            <v>142.4528553180761</v>
          </cell>
          <cell r="L84">
            <v>339.95272672428422</v>
          </cell>
          <cell r="M84">
            <v>123.19476359593283</v>
          </cell>
          <cell r="N84">
            <v>11.716751323149166</v>
          </cell>
          <cell r="O84">
            <v>48.714109617860039</v>
          </cell>
          <cell r="P84">
            <v>3.0749732359104103</v>
          </cell>
          <cell r="Q84">
            <v>37.325950434228446</v>
          </cell>
          <cell r="R84">
            <v>91.968821645869255</v>
          </cell>
          <cell r="S84">
            <v>24.891384702433633</v>
          </cell>
          <cell r="T84">
            <v>601.24162134406924</v>
          </cell>
          <cell r="U84">
            <v>1611.876102370863</v>
          </cell>
          <cell r="V84">
            <v>294.36635963508911</v>
          </cell>
          <cell r="W84">
            <v>60.10857752261888</v>
          </cell>
          <cell r="X84">
            <v>4.318160956784264</v>
          </cell>
          <cell r="Y84">
            <v>69.539632041768471</v>
          </cell>
          <cell r="Z84">
            <v>4.3285094903259083</v>
          </cell>
          <cell r="AA84">
            <v>21.508817919761832</v>
          </cell>
          <cell r="AB84">
            <v>326.8605100607416</v>
          </cell>
          <cell r="AC84">
            <v>140.45258196514567</v>
          </cell>
          <cell r="AD84">
            <v>198.51136972769496</v>
          </cell>
          <cell r="AE84">
            <v>105.63262736183498</v>
          </cell>
          <cell r="AF84">
            <v>41.401376009903302</v>
          </cell>
          <cell r="AG84">
            <v>39.608100750074186</v>
          </cell>
          <cell r="AH84">
            <v>10.313143229197983</v>
          </cell>
          <cell r="AI84">
            <v>193.02035689147451</v>
          </cell>
          <cell r="AJ84">
            <v>71.708494901038648</v>
          </cell>
          <cell r="AK84">
            <v>6.5251615361950233</v>
          </cell>
          <cell r="AL84">
            <v>28.997193513696974</v>
          </cell>
          <cell r="AM84">
            <v>10.077651576450922</v>
          </cell>
          <cell r="AN84">
            <v>91.624830318361816</v>
          </cell>
          <cell r="AO84">
            <v>4629.3618013675878</v>
          </cell>
          <cell r="AP84">
            <v>140.85961195836251</v>
          </cell>
          <cell r="AQ84">
            <v>70.78798596399605</v>
          </cell>
          <cell r="AR84">
            <v>17.082567825034051</v>
          </cell>
          <cell r="AS84">
            <v>0</v>
          </cell>
          <cell r="AT84">
            <v>2499.2303928584802</v>
          </cell>
          <cell r="AU84">
            <v>4.7026717594331764</v>
          </cell>
          <cell r="AV84">
            <v>41.254387369629733</v>
          </cell>
          <cell r="AW84">
            <v>372.6501613385127</v>
          </cell>
          <cell r="AX84">
            <v>1876.7269671416257</v>
          </cell>
          <cell r="AY84">
            <v>18.473453377097933</v>
          </cell>
          <cell r="AZ84">
            <v>3.1828425275535372</v>
          </cell>
          <cell r="BA84">
            <v>1.1416222425233931</v>
          </cell>
          <cell r="BB84">
            <v>1242.5988331664812</v>
          </cell>
          <cell r="BC84">
            <v>37.926042247260867</v>
          </cell>
          <cell r="BD84">
            <v>176.61400171998369</v>
          </cell>
          <cell r="BE84">
            <v>19.465754093623314</v>
          </cell>
          <cell r="BF84">
            <v>1341.4028418843768</v>
          </cell>
          <cell r="BG84">
            <v>1014.7978504023833</v>
          </cell>
          <cell r="BH84">
            <v>126.65800970470222</v>
          </cell>
          <cell r="BI84">
            <v>466.30374486633008</v>
          </cell>
          <cell r="BJ84">
            <v>11.959579022252871</v>
          </cell>
          <cell r="BK84">
            <v>24.271284955239047</v>
          </cell>
          <cell r="BL84">
            <v>86.580527056378017</v>
          </cell>
          <cell r="BM84">
            <v>7.5782052054263751</v>
          </cell>
          <cell r="BN84">
            <v>368.78294775508476</v>
          </cell>
        </row>
        <row r="85">
          <cell r="A85" t="str">
            <v>P81</v>
          </cell>
          <cell r="B85" t="str">
            <v>Trade services</v>
          </cell>
          <cell r="C85">
            <v>43084.78183791331</v>
          </cell>
          <cell r="E85">
            <v>268.35106926607989</v>
          </cell>
          <cell r="F85">
            <v>26.961191354447745</v>
          </cell>
          <cell r="G85">
            <v>2.1727031826593772</v>
          </cell>
          <cell r="H85">
            <v>74.496579367148129</v>
          </cell>
          <cell r="I85">
            <v>10.501609966229553</v>
          </cell>
          <cell r="J85">
            <v>122.85212762406813</v>
          </cell>
          <cell r="K85">
            <v>29.334368845534666</v>
          </cell>
          <cell r="L85">
            <v>791.58525292896365</v>
          </cell>
          <cell r="M85">
            <v>377.81646847661733</v>
          </cell>
          <cell r="N85">
            <v>126.83998011835278</v>
          </cell>
          <cell r="O85">
            <v>65.77048678429658</v>
          </cell>
          <cell r="P85">
            <v>26.123812351623066</v>
          </cell>
          <cell r="Q85">
            <v>27.500527328857789</v>
          </cell>
          <cell r="R85">
            <v>98.270085976319336</v>
          </cell>
          <cell r="S85">
            <v>468.02549858981524</v>
          </cell>
          <cell r="T85">
            <v>206.74248635756683</v>
          </cell>
          <cell r="U85">
            <v>95.630725954100271</v>
          </cell>
          <cell r="V85">
            <v>386.46769646264067</v>
          </cell>
          <cell r="W85">
            <v>438.77985842791963</v>
          </cell>
          <cell r="X85">
            <v>32.585082454689875</v>
          </cell>
          <cell r="Y85">
            <v>187.05904053686834</v>
          </cell>
          <cell r="Z85">
            <v>24.372383924312842</v>
          </cell>
          <cell r="AA85">
            <v>113.42956122642312</v>
          </cell>
          <cell r="AB85">
            <v>539.0715060654386</v>
          </cell>
          <cell r="AC85">
            <v>150.90558079187579</v>
          </cell>
          <cell r="AD85">
            <v>222.31173942147575</v>
          </cell>
          <cell r="AE85">
            <v>219.97733094211321</v>
          </cell>
          <cell r="AF85">
            <v>166.49145103445389</v>
          </cell>
          <cell r="AG85">
            <v>22.821725036460258</v>
          </cell>
          <cell r="AH85">
            <v>26.612742670888466</v>
          </cell>
          <cell r="AI85">
            <v>821.60535479707471</v>
          </cell>
          <cell r="AJ85">
            <v>131.63558074086484</v>
          </cell>
          <cell r="AK85">
            <v>96.137203200738696</v>
          </cell>
          <cell r="AL85">
            <v>59.635421982187594</v>
          </cell>
          <cell r="AM85">
            <v>92.018926468126267</v>
          </cell>
          <cell r="AN85">
            <v>24.303303354113432</v>
          </cell>
          <cell r="AO85">
            <v>212.32907811143045</v>
          </cell>
          <cell r="AP85">
            <v>0</v>
          </cell>
          <cell r="AQ85">
            <v>0</v>
          </cell>
          <cell r="AR85">
            <v>3551.231814262504</v>
          </cell>
          <cell r="AS85">
            <v>351.69149788371226</v>
          </cell>
          <cell r="AT85">
            <v>4518.0705170721658</v>
          </cell>
          <cell r="AU85">
            <v>40.161641610929308</v>
          </cell>
          <cell r="AV85">
            <v>420.01981307438672</v>
          </cell>
          <cell r="AW85">
            <v>519.79670995523929</v>
          </cell>
          <cell r="AX85">
            <v>4027.8814411628077</v>
          </cell>
          <cell r="AY85">
            <v>159.66859250160519</v>
          </cell>
          <cell r="AZ85">
            <v>27.509744721512156</v>
          </cell>
          <cell r="BA85">
            <v>9.8671976977631601</v>
          </cell>
          <cell r="BB85">
            <v>8575.5259806823269</v>
          </cell>
          <cell r="BC85">
            <v>369.83495616586174</v>
          </cell>
          <cell r="BD85">
            <v>914.05843983619434</v>
          </cell>
          <cell r="BE85">
            <v>204.9458315665978</v>
          </cell>
          <cell r="BF85">
            <v>9155.1937468881242</v>
          </cell>
          <cell r="BG85">
            <v>793.12382217829213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609.7925483403211</v>
          </cell>
        </row>
        <row r="86">
          <cell r="A86" t="str">
            <v>P82</v>
          </cell>
          <cell r="B86" t="str">
            <v xml:space="preserve">Accommodation </v>
          </cell>
          <cell r="C86">
            <v>34585.057467893144</v>
          </cell>
          <cell r="E86">
            <v>4.9138755548119457</v>
          </cell>
          <cell r="F86">
            <v>0</v>
          </cell>
          <cell r="G86">
            <v>0</v>
          </cell>
          <cell r="H86">
            <v>19.704786824958376</v>
          </cell>
          <cell r="I86">
            <v>25.099248697697458</v>
          </cell>
          <cell r="J86">
            <v>104.60256784880245</v>
          </cell>
          <cell r="K86">
            <v>10.559213035362134</v>
          </cell>
          <cell r="L86">
            <v>102.85474810922402</v>
          </cell>
          <cell r="M86">
            <v>28.527905051979857</v>
          </cell>
          <cell r="N86">
            <v>6.0104946620489219</v>
          </cell>
          <cell r="O86">
            <v>2.8386678437542212</v>
          </cell>
          <cell r="P86">
            <v>3.2521701317758596</v>
          </cell>
          <cell r="Q86">
            <v>3.041339687896039</v>
          </cell>
          <cell r="R86">
            <v>14.702746091898764</v>
          </cell>
          <cell r="S86">
            <v>27.900870292957951</v>
          </cell>
          <cell r="T86">
            <v>30.050248222519134</v>
          </cell>
          <cell r="U86">
            <v>12.983825192532818</v>
          </cell>
          <cell r="V86">
            <v>43.802193103357723</v>
          </cell>
          <cell r="W86">
            <v>40.782167959038951</v>
          </cell>
          <cell r="X86">
            <v>10.114393902507576</v>
          </cell>
          <cell r="Y86">
            <v>175.58496340601997</v>
          </cell>
          <cell r="Z86">
            <v>4.6308645441283804</v>
          </cell>
          <cell r="AA86">
            <v>35.67874176608548</v>
          </cell>
          <cell r="AB86">
            <v>11.946112214991505</v>
          </cell>
          <cell r="AC86">
            <v>0.90926577351824078</v>
          </cell>
          <cell r="AD86">
            <v>19.51340968224703</v>
          </cell>
          <cell r="AE86">
            <v>55.706099871061106</v>
          </cell>
          <cell r="AF86">
            <v>39.422736071792421</v>
          </cell>
          <cell r="AG86">
            <v>5.4985792642218634</v>
          </cell>
          <cell r="AH86">
            <v>11.977363057608173</v>
          </cell>
          <cell r="AI86">
            <v>43.113124283350999</v>
          </cell>
          <cell r="AJ86">
            <v>5.9184527643984399</v>
          </cell>
          <cell r="AK86">
            <v>5.072600697480464</v>
          </cell>
          <cell r="AL86">
            <v>19.396561482257013</v>
          </cell>
          <cell r="AM86">
            <v>57.10913981274598</v>
          </cell>
          <cell r="AN86">
            <v>16.197906103835972</v>
          </cell>
          <cell r="AO86">
            <v>361.71781654871097</v>
          </cell>
          <cell r="AP86">
            <v>309.74860130278046</v>
          </cell>
          <cell r="AQ86">
            <v>178.44902823064379</v>
          </cell>
          <cell r="AR86">
            <v>33.183482452412584</v>
          </cell>
          <cell r="AS86">
            <v>322.96270325132059</v>
          </cell>
          <cell r="AT86">
            <v>2700.5787541884838</v>
          </cell>
          <cell r="AU86">
            <v>21.885486435097441</v>
          </cell>
          <cell r="AV86">
            <v>630.35186247810111</v>
          </cell>
          <cell r="AW86">
            <v>381.44764888551083</v>
          </cell>
          <cell r="AX86">
            <v>2241.2935361440673</v>
          </cell>
          <cell r="AY86">
            <v>24.317186217959684</v>
          </cell>
          <cell r="AZ86">
            <v>4.1896754691741922</v>
          </cell>
          <cell r="BA86">
            <v>1.502753172096241</v>
          </cell>
          <cell r="BB86">
            <v>221.69418680837938</v>
          </cell>
          <cell r="BC86">
            <v>5.1485850229392884</v>
          </cell>
          <cell r="BD86">
            <v>28.153164861648801</v>
          </cell>
          <cell r="BE86">
            <v>11.25273755709852</v>
          </cell>
          <cell r="BF86">
            <v>573.27244239127003</v>
          </cell>
          <cell r="BG86">
            <v>1008.2846277577047</v>
          </cell>
          <cell r="BH86">
            <v>202.76322179710158</v>
          </cell>
          <cell r="BI86">
            <v>52.156130895896503</v>
          </cell>
          <cell r="BJ86">
            <v>3.7999787375257021</v>
          </cell>
          <cell r="BK86">
            <v>4.8169342667733712</v>
          </cell>
          <cell r="BL86">
            <v>67.848634498773123</v>
          </cell>
          <cell r="BM86">
            <v>2.9401265159785503</v>
          </cell>
          <cell r="BN86">
            <v>389.59756074014518</v>
          </cell>
        </row>
        <row r="87">
          <cell r="A87" t="str">
            <v>P83</v>
          </cell>
          <cell r="B87" t="str">
            <v>Catering services</v>
          </cell>
          <cell r="C87">
            <v>33241.088850933651</v>
          </cell>
          <cell r="E87">
            <v>0</v>
          </cell>
          <cell r="F87">
            <v>0</v>
          </cell>
          <cell r="G87">
            <v>0</v>
          </cell>
          <cell r="H87">
            <v>23.377147551741306</v>
          </cell>
          <cell r="I87">
            <v>1.2675767368838855</v>
          </cell>
          <cell r="J87">
            <v>4.6704030165126174</v>
          </cell>
          <cell r="K87">
            <v>5.4840457243768563</v>
          </cell>
          <cell r="L87">
            <v>29.769802706308106</v>
          </cell>
          <cell r="M87">
            <v>15.116269645584447</v>
          </cell>
          <cell r="N87">
            <v>8.4239820474387948</v>
          </cell>
          <cell r="O87">
            <v>7.248657777459754</v>
          </cell>
          <cell r="P87">
            <v>1.7023960282546915</v>
          </cell>
          <cell r="Q87">
            <v>2.1438184367080635</v>
          </cell>
          <cell r="R87">
            <v>13.017807573405252</v>
          </cell>
          <cell r="S87">
            <v>15.556459161991711</v>
          </cell>
          <cell r="T87">
            <v>38.654896645275521</v>
          </cell>
          <cell r="U87">
            <v>19.215536403723739</v>
          </cell>
          <cell r="V87">
            <v>52.289288197961973</v>
          </cell>
          <cell r="W87">
            <v>58.639284015956562</v>
          </cell>
          <cell r="X87">
            <v>4.4484777897188437</v>
          </cell>
          <cell r="Y87">
            <v>19.023517817413079</v>
          </cell>
          <cell r="Z87">
            <v>4.3062860599246795</v>
          </cell>
          <cell r="AA87">
            <v>10.318713173753517</v>
          </cell>
          <cell r="AB87">
            <v>16.339193229359527</v>
          </cell>
          <cell r="AC87">
            <v>10.772569445824159</v>
          </cell>
          <cell r="AD87">
            <v>43.85505553348456</v>
          </cell>
          <cell r="AE87">
            <v>60.434143204920957</v>
          </cell>
          <cell r="AF87">
            <v>40.400288433607663</v>
          </cell>
          <cell r="AG87">
            <v>8.6699822277547547</v>
          </cell>
          <cell r="AH87">
            <v>11.420961457789218</v>
          </cell>
          <cell r="AI87">
            <v>135.59755500160958</v>
          </cell>
          <cell r="AJ87">
            <v>7.9823268659733513</v>
          </cell>
          <cell r="AK87">
            <v>8.6012421041389988</v>
          </cell>
          <cell r="AL87">
            <v>15.092635115964827</v>
          </cell>
          <cell r="AM87">
            <v>26.778981204373217</v>
          </cell>
          <cell r="AN87">
            <v>0.55618181368470054</v>
          </cell>
          <cell r="AO87">
            <v>118.73993194472034</v>
          </cell>
          <cell r="AP87">
            <v>299.65543815839828</v>
          </cell>
          <cell r="AQ87">
            <v>148.34047540916987</v>
          </cell>
          <cell r="AR87">
            <v>104.8227642689242</v>
          </cell>
          <cell r="AS87">
            <v>48.024402031383318</v>
          </cell>
          <cell r="AT87">
            <v>152.89145021463537</v>
          </cell>
          <cell r="AU87">
            <v>0.40418866666993791</v>
          </cell>
          <cell r="AV87">
            <v>4.212881399039941</v>
          </cell>
          <cell r="AW87">
            <v>29.415941617073774</v>
          </cell>
          <cell r="AX87">
            <v>212.03984487908099</v>
          </cell>
          <cell r="AY87">
            <v>10.643364908618901</v>
          </cell>
          <cell r="AZ87">
            <v>1.8337748647159127</v>
          </cell>
          <cell r="BA87">
            <v>0.65773853252775916</v>
          </cell>
          <cell r="BB87">
            <v>135.62960784108463</v>
          </cell>
          <cell r="BC87">
            <v>113.65674210129458</v>
          </cell>
          <cell r="BD87">
            <v>28.948816719303068</v>
          </cell>
          <cell r="BE87">
            <v>4.6497549822045334</v>
          </cell>
          <cell r="BF87">
            <v>430.3805962556292</v>
          </cell>
          <cell r="BG87">
            <v>0</v>
          </cell>
          <cell r="BH87">
            <v>85.909384176958525</v>
          </cell>
          <cell r="BI87">
            <v>146.75248770678269</v>
          </cell>
          <cell r="BJ87">
            <v>0.99792533525795635</v>
          </cell>
          <cell r="BK87">
            <v>7.2285227668184753</v>
          </cell>
          <cell r="BL87">
            <v>48.460936727213983</v>
          </cell>
          <cell r="BM87">
            <v>4.8257288754415661</v>
          </cell>
          <cell r="BN87">
            <v>95.596483966471055</v>
          </cell>
        </row>
        <row r="88">
          <cell r="A88" t="str">
            <v>P84</v>
          </cell>
          <cell r="B88" t="str">
            <v xml:space="preserve">Passenger transport </v>
          </cell>
          <cell r="C88">
            <v>106286.01829546796</v>
          </cell>
          <cell r="E88">
            <v>0</v>
          </cell>
          <cell r="F88">
            <v>0</v>
          </cell>
          <cell r="G88">
            <v>0</v>
          </cell>
          <cell r="H88">
            <v>196.29841696600568</v>
          </cell>
          <cell r="I88">
            <v>10.552111962337497</v>
          </cell>
          <cell r="J88">
            <v>49.039276726502472</v>
          </cell>
          <cell r="K88">
            <v>54.025507808031641</v>
          </cell>
          <cell r="L88">
            <v>807.29445177925868</v>
          </cell>
          <cell r="M88">
            <v>262.7798064511814</v>
          </cell>
          <cell r="N88">
            <v>154.49758915400821</v>
          </cell>
          <cell r="O88">
            <v>118.66288969904069</v>
          </cell>
          <cell r="P88">
            <v>20.020327311930682</v>
          </cell>
          <cell r="Q88">
            <v>40.710460150539681</v>
          </cell>
          <cell r="R88">
            <v>142.30206803991274</v>
          </cell>
          <cell r="S88">
            <v>146.10208902192093</v>
          </cell>
          <cell r="T88">
            <v>364.47262657782699</v>
          </cell>
          <cell r="U88">
            <v>58.049185776541798</v>
          </cell>
          <cell r="V88">
            <v>302.76298513374559</v>
          </cell>
          <cell r="W88">
            <v>680.77871230864014</v>
          </cell>
          <cell r="X88">
            <v>64.307823641874649</v>
          </cell>
          <cell r="Y88">
            <v>249.99105744024217</v>
          </cell>
          <cell r="Z88">
            <v>52.737179472308888</v>
          </cell>
          <cell r="AA88">
            <v>139.78630676898337</v>
          </cell>
          <cell r="AB88">
            <v>500.4177765653186</v>
          </cell>
          <cell r="AC88">
            <v>93.759825501402361</v>
          </cell>
          <cell r="AD88">
            <v>320.46332153987794</v>
          </cell>
          <cell r="AE88">
            <v>429.06102745835398</v>
          </cell>
          <cell r="AF88">
            <v>186.2883300177887</v>
          </cell>
          <cell r="AG88">
            <v>108.12878349037243</v>
          </cell>
          <cell r="AH88">
            <v>61.238337167330464</v>
          </cell>
          <cell r="AI88">
            <v>739.11098634509926</v>
          </cell>
          <cell r="AJ88">
            <v>145.15776146774039</v>
          </cell>
          <cell r="AK88">
            <v>58.626024009239764</v>
          </cell>
          <cell r="AL88">
            <v>78.001141582378494</v>
          </cell>
          <cell r="AM88">
            <v>4.6572789980795708</v>
          </cell>
          <cell r="AN88">
            <v>229.12638110521306</v>
          </cell>
          <cell r="AO88">
            <v>395.38657339553475</v>
          </cell>
          <cell r="AP88">
            <v>2830.7155108922543</v>
          </cell>
          <cell r="AQ88">
            <v>1295.9616367894901</v>
          </cell>
          <cell r="AR88">
            <v>531.07814013667758</v>
          </cell>
          <cell r="AS88">
            <v>1546.0047204879456</v>
          </cell>
          <cell r="AT88">
            <v>5650.9412707857946</v>
          </cell>
          <cell r="AU88">
            <v>45.009362302788652</v>
          </cell>
          <cell r="AV88">
            <v>705.28781646857306</v>
          </cell>
          <cell r="AW88">
            <v>772.65374113932444</v>
          </cell>
          <cell r="AX88">
            <v>4615.4378596371071</v>
          </cell>
          <cell r="AY88">
            <v>146.89297798534128</v>
          </cell>
          <cell r="AZ88">
            <v>25.308598657051903</v>
          </cell>
          <cell r="BA88">
            <v>9.0776904304456103</v>
          </cell>
          <cell r="BB88">
            <v>697.95300806452076</v>
          </cell>
          <cell r="BC88">
            <v>101.35127688609043</v>
          </cell>
          <cell r="BD88">
            <v>476.09825358990156</v>
          </cell>
          <cell r="BE88">
            <v>237.63174142529078</v>
          </cell>
          <cell r="BF88">
            <v>3121.7850934660873</v>
          </cell>
          <cell r="BG88">
            <v>3786.0782625600923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1197.7483844194455</v>
          </cell>
        </row>
        <row r="89">
          <cell r="A89" t="str">
            <v>P85</v>
          </cell>
          <cell r="B89" t="str">
            <v xml:space="preserve">Freight transport </v>
          </cell>
          <cell r="C89">
            <v>49506.487010641213</v>
          </cell>
          <cell r="E89">
            <v>7779.0295538118862</v>
          </cell>
          <cell r="F89">
            <v>789.39589652187078</v>
          </cell>
          <cell r="G89">
            <v>73.31459484626825</v>
          </cell>
          <cell r="H89">
            <v>2012.814537810872</v>
          </cell>
          <cell r="I89">
            <v>11.166148392732328</v>
          </cell>
          <cell r="J89">
            <v>1800.6769378972647</v>
          </cell>
          <cell r="K89">
            <v>720.0821916781133</v>
          </cell>
          <cell r="L89">
            <v>5628.5760553363107</v>
          </cell>
          <cell r="M89">
            <v>538.52370907947159</v>
          </cell>
          <cell r="N89">
            <v>274.90975467825643</v>
          </cell>
          <cell r="O89">
            <v>118.13843318842763</v>
          </cell>
          <cell r="P89">
            <v>31.822713749283402</v>
          </cell>
          <cell r="Q89">
            <v>83.769609070685689</v>
          </cell>
          <cell r="R89">
            <v>762.18794044574383</v>
          </cell>
          <cell r="S89">
            <v>783.23116101230391</v>
          </cell>
          <cell r="T89">
            <v>276.58327290013813</v>
          </cell>
          <cell r="U89">
            <v>253.03124787184566</v>
          </cell>
          <cell r="V89">
            <v>1501.0010169412558</v>
          </cell>
          <cell r="W89">
            <v>3114.4266767636509</v>
          </cell>
          <cell r="X89">
            <v>211.48396052591352</v>
          </cell>
          <cell r="Y89">
            <v>520.27665783683415</v>
          </cell>
          <cell r="Z89">
            <v>102.08981763910448</v>
          </cell>
          <cell r="AA89">
            <v>1185.1898235792303</v>
          </cell>
          <cell r="AB89">
            <v>2984.2521272225135</v>
          </cell>
          <cell r="AC89">
            <v>116.76513906966036</v>
          </cell>
          <cell r="AD89">
            <v>385.94916066659084</v>
          </cell>
          <cell r="AE89">
            <v>334.07228993663671</v>
          </cell>
          <cell r="AF89">
            <v>155.25453616660695</v>
          </cell>
          <cell r="AG89">
            <v>22.51357062798828</v>
          </cell>
          <cell r="AH89">
            <v>21.090989502730661</v>
          </cell>
          <cell r="AI89">
            <v>1024.7196673437725</v>
          </cell>
          <cell r="AJ89">
            <v>22.468038935920895</v>
          </cell>
          <cell r="AK89">
            <v>571.73649606167464</v>
          </cell>
          <cell r="AL89">
            <v>260.80026772881456</v>
          </cell>
          <cell r="AM89">
            <v>493.37607825965267</v>
          </cell>
          <cell r="AN89">
            <v>0.39433854276261865</v>
          </cell>
          <cell r="AO89">
            <v>213.26651636338246</v>
          </cell>
          <cell r="AP89">
            <v>3615.8838154657778</v>
          </cell>
          <cell r="AQ89">
            <v>1226.9463036398454</v>
          </cell>
          <cell r="AR89">
            <v>311.28645457588067</v>
          </cell>
          <cell r="AS89">
            <v>47.016814418486305</v>
          </cell>
          <cell r="AT89">
            <v>1301.4134762357223</v>
          </cell>
          <cell r="AU89">
            <v>1.0965260257340328</v>
          </cell>
          <cell r="AV89">
            <v>53.309108402782556</v>
          </cell>
          <cell r="AW89">
            <v>701.30613434885504</v>
          </cell>
          <cell r="AX89">
            <v>586.46684363141708</v>
          </cell>
          <cell r="AY89">
            <v>177.79177174278522</v>
          </cell>
          <cell r="AZ89">
            <v>30.632237546531066</v>
          </cell>
          <cell r="BA89">
            <v>10.987173703582439</v>
          </cell>
          <cell r="BB89">
            <v>33.224879123963127</v>
          </cell>
          <cell r="BC89">
            <v>14.473121755436852</v>
          </cell>
          <cell r="BD89">
            <v>18.485342394375568</v>
          </cell>
          <cell r="BE89">
            <v>1.1488424098543353</v>
          </cell>
          <cell r="BF89">
            <v>41.349795965950634</v>
          </cell>
          <cell r="BG89">
            <v>3647.276903405223</v>
          </cell>
          <cell r="BH89">
            <v>8.0209874400390309</v>
          </cell>
          <cell r="BI89">
            <v>92.942823396770962</v>
          </cell>
          <cell r="BJ89">
            <v>0.86184072410933665</v>
          </cell>
          <cell r="BK89">
            <v>2.3410451196175774</v>
          </cell>
          <cell r="BL89">
            <v>18.601083812749629</v>
          </cell>
          <cell r="BM89">
            <v>2.5005936945918847</v>
          </cell>
          <cell r="BN89">
            <v>588.41946053892605</v>
          </cell>
        </row>
        <row r="90">
          <cell r="A90" t="str">
            <v>P86</v>
          </cell>
          <cell r="B90" t="str">
            <v>Supporting transport services</v>
          </cell>
          <cell r="C90">
            <v>35334.290328586445</v>
          </cell>
          <cell r="E90">
            <v>0</v>
          </cell>
          <cell r="F90">
            <v>0</v>
          </cell>
          <cell r="G90">
            <v>0</v>
          </cell>
          <cell r="H90">
            <v>10062.840569029069</v>
          </cell>
          <cell r="I90">
            <v>55.823906741250269</v>
          </cell>
          <cell r="J90">
            <v>9002.2824269219327</v>
          </cell>
          <cell r="K90">
            <v>3599.9701688039031</v>
          </cell>
          <cell r="L90">
            <v>1057.1419886205347</v>
          </cell>
          <cell r="M90">
            <v>278.8837781274064</v>
          </cell>
          <cell r="N90">
            <v>111.08591753090664</v>
          </cell>
          <cell r="O90">
            <v>79.52203857116983</v>
          </cell>
          <cell r="P90">
            <v>21.566644800438041</v>
          </cell>
          <cell r="Q90">
            <v>32.00027706213487</v>
          </cell>
          <cell r="R90">
            <v>127.47303488779076</v>
          </cell>
          <cell r="S90">
            <v>296.60563334270489</v>
          </cell>
          <cell r="T90">
            <v>157.69544087818562</v>
          </cell>
          <cell r="U90">
            <v>423.6730893366219</v>
          </cell>
          <cell r="V90">
            <v>450.99904819155074</v>
          </cell>
          <cell r="W90">
            <v>533.84133792303624</v>
          </cell>
          <cell r="X90">
            <v>62.477625795612795</v>
          </cell>
          <cell r="Y90">
            <v>145.94451857254964</v>
          </cell>
          <cell r="Z90">
            <v>35.315945298580615</v>
          </cell>
          <cell r="AA90">
            <v>152.11652609326254</v>
          </cell>
          <cell r="AB90">
            <v>626.8139131597286</v>
          </cell>
          <cell r="AC90">
            <v>190.79536953498624</v>
          </cell>
          <cell r="AD90">
            <v>314.77297915828444</v>
          </cell>
          <cell r="AE90">
            <v>304.36846847374636</v>
          </cell>
          <cell r="AF90">
            <v>210.87055343560948</v>
          </cell>
          <cell r="AG90">
            <v>47.587177145819766</v>
          </cell>
          <cell r="AH90">
            <v>31.489121495521825</v>
          </cell>
          <cell r="AI90">
            <v>1205.9340274769472</v>
          </cell>
          <cell r="AJ90">
            <v>69.90433636950344</v>
          </cell>
          <cell r="AK90">
            <v>92.569930390972857</v>
          </cell>
          <cell r="AL90">
            <v>105.22545030067988</v>
          </cell>
          <cell r="AM90">
            <v>0</v>
          </cell>
          <cell r="AN90">
            <v>0</v>
          </cell>
          <cell r="AO90">
            <v>1024.7904101307854</v>
          </cell>
          <cell r="AP90">
            <v>675.55099227992309</v>
          </cell>
          <cell r="AQ90">
            <v>563.43970885923864</v>
          </cell>
          <cell r="AR90">
            <v>0</v>
          </cell>
          <cell r="AS90">
            <v>0</v>
          </cell>
          <cell r="AT90">
            <v>564.64179641690737</v>
          </cell>
          <cell r="AU90">
            <v>0</v>
          </cell>
          <cell r="AV90">
            <v>0</v>
          </cell>
          <cell r="AW90">
            <v>109.24569463368388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38.368785531562139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4.8130349209465644</v>
          </cell>
        </row>
        <row r="91">
          <cell r="A91" t="str">
            <v>P87</v>
          </cell>
          <cell r="B91" t="str">
            <v>Postal,  courier services</v>
          </cell>
          <cell r="C91">
            <v>10169.402956084768</v>
          </cell>
          <cell r="E91">
            <v>0</v>
          </cell>
          <cell r="F91">
            <v>0</v>
          </cell>
          <cell r="G91">
            <v>0</v>
          </cell>
          <cell r="H91">
            <v>68.200573226313807</v>
          </cell>
          <cell r="I91">
            <v>25.303319651384754</v>
          </cell>
          <cell r="J91">
            <v>28.04910893415515</v>
          </cell>
          <cell r="K91">
            <v>77.947871269926694</v>
          </cell>
          <cell r="L91">
            <v>419.59194421364293</v>
          </cell>
          <cell r="M91">
            <v>94.043823579230704</v>
          </cell>
          <cell r="N91">
            <v>58.688697587086153</v>
          </cell>
          <cell r="O91">
            <v>27.898606500368437</v>
          </cell>
          <cell r="P91">
            <v>3.7438941313165062</v>
          </cell>
          <cell r="Q91">
            <v>29.855271254184601</v>
          </cell>
          <cell r="R91">
            <v>68.154119874041285</v>
          </cell>
          <cell r="S91">
            <v>57.052868706832029</v>
          </cell>
          <cell r="T91">
            <v>236.43795905732046</v>
          </cell>
          <cell r="U91">
            <v>29.781932094609232</v>
          </cell>
          <cell r="V91">
            <v>121.5438017758413</v>
          </cell>
          <cell r="W91">
            <v>225.46767708646408</v>
          </cell>
          <cell r="X91">
            <v>14.357738735553374</v>
          </cell>
          <cell r="Y91">
            <v>54.877295663333896</v>
          </cell>
          <cell r="Z91">
            <v>40.184275965857722</v>
          </cell>
          <cell r="AA91">
            <v>60.801972389098559</v>
          </cell>
          <cell r="AB91">
            <v>48.760425292543594</v>
          </cell>
          <cell r="AC91">
            <v>17.042585929927299</v>
          </cell>
          <cell r="AD91">
            <v>66.607423834752794</v>
          </cell>
          <cell r="AE91">
            <v>117.04979969146972</v>
          </cell>
          <cell r="AF91">
            <v>94.843195779665066</v>
          </cell>
          <cell r="AG91">
            <v>18.758677380780437</v>
          </cell>
          <cell r="AH91">
            <v>46.270501438513207</v>
          </cell>
          <cell r="AI91">
            <v>380.80711548804555</v>
          </cell>
          <cell r="AJ91">
            <v>31.758185223046386</v>
          </cell>
          <cell r="AK91">
            <v>20.13147370672014</v>
          </cell>
          <cell r="AL91">
            <v>39.517822851727011</v>
          </cell>
          <cell r="AM91">
            <v>107.06531237097271</v>
          </cell>
          <cell r="AN91">
            <v>8.3295174592782075</v>
          </cell>
          <cell r="AO91">
            <v>153.85530208379842</v>
          </cell>
          <cell r="AP91">
            <v>983.73615718214842</v>
          </cell>
          <cell r="AQ91">
            <v>1732.2316548135598</v>
          </cell>
          <cell r="AR91">
            <v>374.67176929149736</v>
          </cell>
          <cell r="AS91">
            <v>127.41464926234481</v>
          </cell>
          <cell r="AT91">
            <v>207.33436822196325</v>
          </cell>
          <cell r="AU91">
            <v>0.20170997807514418</v>
          </cell>
          <cell r="AV91">
            <v>11.388187107079613</v>
          </cell>
          <cell r="AW91">
            <v>101.80125218253366</v>
          </cell>
          <cell r="AX91">
            <v>220.88715838399423</v>
          </cell>
          <cell r="AY91">
            <v>36.691706734604971</v>
          </cell>
          <cell r="AZ91">
            <v>6.321715935808947</v>
          </cell>
          <cell r="BA91">
            <v>2.2674736374034015</v>
          </cell>
          <cell r="BB91">
            <v>106.58336799318836</v>
          </cell>
          <cell r="BC91">
            <v>28.155929405419108</v>
          </cell>
          <cell r="BD91">
            <v>69.09985731103761</v>
          </cell>
          <cell r="BE91">
            <v>9.8910636369247715</v>
          </cell>
          <cell r="BF91">
            <v>759.22131159222829</v>
          </cell>
          <cell r="BG91">
            <v>0</v>
          </cell>
          <cell r="BH91">
            <v>156.42850712814018</v>
          </cell>
          <cell r="BI91">
            <v>557.41260374375247</v>
          </cell>
          <cell r="BJ91">
            <v>1.2450342754160639</v>
          </cell>
          <cell r="BK91">
            <v>24.800789488140275</v>
          </cell>
          <cell r="BL91">
            <v>235.73668586574354</v>
          </cell>
          <cell r="BM91">
            <v>8.4289642702891499</v>
          </cell>
          <cell r="BN91">
            <v>379.34502730131874</v>
          </cell>
        </row>
        <row r="92">
          <cell r="A92" t="str">
            <v>P88</v>
          </cell>
          <cell r="B92" t="str">
            <v xml:space="preserve">Electricity distribution </v>
          </cell>
          <cell r="C92">
            <v>51016.239247188227</v>
          </cell>
          <cell r="E92">
            <v>0</v>
          </cell>
          <cell r="F92">
            <v>0</v>
          </cell>
          <cell r="G92">
            <v>0</v>
          </cell>
          <cell r="H92">
            <v>392.21921998430383</v>
          </cell>
          <cell r="I92">
            <v>550.08144599267939</v>
          </cell>
          <cell r="J92">
            <v>1890.9326647100288</v>
          </cell>
          <cell r="K92">
            <v>223.68173878864127</v>
          </cell>
          <cell r="L92">
            <v>1769.8523020037262</v>
          </cell>
          <cell r="M92">
            <v>154.26205453997935</v>
          </cell>
          <cell r="N92">
            <v>253.35412426599191</v>
          </cell>
          <cell r="O92">
            <v>97.846452480081638</v>
          </cell>
          <cell r="P92">
            <v>20.979653136159058</v>
          </cell>
          <cell r="Q92">
            <v>29.896396095216588</v>
          </cell>
          <cell r="R92">
            <v>182.91149165553267</v>
          </cell>
          <cell r="S92">
            <v>451.10298552875491</v>
          </cell>
          <cell r="T92">
            <v>110.4334095229318</v>
          </cell>
          <cell r="U92">
            <v>418.11042175622248</v>
          </cell>
          <cell r="V92">
            <v>789.59658613592092</v>
          </cell>
          <cell r="W92">
            <v>318.12851751889116</v>
          </cell>
          <cell r="X92">
            <v>136.19334025630968</v>
          </cell>
          <cell r="Y92">
            <v>305.79990637327325</v>
          </cell>
          <cell r="Z92">
            <v>149.22534910946445</v>
          </cell>
          <cell r="AA92">
            <v>280.26632953270615</v>
          </cell>
          <cell r="AB92">
            <v>2815.2346443158558</v>
          </cell>
          <cell r="AC92">
            <v>1849.8087501923969</v>
          </cell>
          <cell r="AD92">
            <v>327.25827200601384</v>
          </cell>
          <cell r="AE92">
            <v>190.37987089996216</v>
          </cell>
          <cell r="AF92">
            <v>197.97206953678253</v>
          </cell>
          <cell r="AG92">
            <v>21.966089105509788</v>
          </cell>
          <cell r="AH92">
            <v>35.607880873132949</v>
          </cell>
          <cell r="AI92">
            <v>597.72431834563849</v>
          </cell>
          <cell r="AJ92">
            <v>65.36338235235408</v>
          </cell>
          <cell r="AK92">
            <v>91.591342344173697</v>
          </cell>
          <cell r="AL92">
            <v>159.90654400621426</v>
          </cell>
          <cell r="AM92">
            <v>3686.9498326450494</v>
          </cell>
          <cell r="AN92">
            <v>157.06444289672959</v>
          </cell>
          <cell r="AO92">
            <v>268.28517064064198</v>
          </cell>
          <cell r="AP92">
            <v>600.99592588564042</v>
          </cell>
          <cell r="AQ92">
            <v>1016.7706395389534</v>
          </cell>
          <cell r="AR92">
            <v>293.34081922753541</v>
          </cell>
          <cell r="AS92">
            <v>544.61593619944165</v>
          </cell>
          <cell r="AT92">
            <v>1028.3774817695346</v>
          </cell>
          <cell r="AU92">
            <v>2.9773903098576735</v>
          </cell>
          <cell r="AV92">
            <v>19.618884420166395</v>
          </cell>
          <cell r="AW92">
            <v>123.85746209688961</v>
          </cell>
          <cell r="AX92">
            <v>228.47024047785604</v>
          </cell>
          <cell r="AY92">
            <v>192.09354025519139</v>
          </cell>
          <cell r="AZ92">
            <v>33.096328916526161</v>
          </cell>
          <cell r="BA92">
            <v>11.87099421661253</v>
          </cell>
          <cell r="BB92">
            <v>2947.8356863113545</v>
          </cell>
          <cell r="BC92">
            <v>47.387935997333138</v>
          </cell>
          <cell r="BD92">
            <v>136.05149086758834</v>
          </cell>
          <cell r="BE92">
            <v>13.929174003606928</v>
          </cell>
          <cell r="BF92">
            <v>1832.2523526874149</v>
          </cell>
          <cell r="BG92">
            <v>819.47556184405039</v>
          </cell>
          <cell r="BH92">
            <v>326.3467980564244</v>
          </cell>
          <cell r="BI92">
            <v>789.02648889516649</v>
          </cell>
          <cell r="BJ92">
            <v>1.2674233202639753</v>
          </cell>
          <cell r="BK92">
            <v>19.508870808588835</v>
          </cell>
          <cell r="BL92">
            <v>138.63890456606151</v>
          </cell>
          <cell r="BM92">
            <v>33.096366961256145</v>
          </cell>
          <cell r="BN92">
            <v>740.67242797001052</v>
          </cell>
        </row>
        <row r="93">
          <cell r="A93" t="str">
            <v>P89</v>
          </cell>
          <cell r="B93" t="str">
            <v xml:space="preserve">Water distribution </v>
          </cell>
          <cell r="C93">
            <v>20656.823923298791</v>
          </cell>
          <cell r="E93">
            <v>0</v>
          </cell>
          <cell r="F93">
            <v>0</v>
          </cell>
          <cell r="G93">
            <v>0</v>
          </cell>
          <cell r="H93">
            <v>172.38836975706241</v>
          </cell>
          <cell r="I93">
            <v>241.77204705083105</v>
          </cell>
          <cell r="J93">
            <v>831.10358386511928</v>
          </cell>
          <cell r="K93">
            <v>98.312699453488165</v>
          </cell>
          <cell r="L93">
            <v>105.63887859559478</v>
          </cell>
          <cell r="M93">
            <v>9.2075877930640964</v>
          </cell>
          <cell r="N93">
            <v>15.122191577640494</v>
          </cell>
          <cell r="O93">
            <v>5.8402554285748458</v>
          </cell>
          <cell r="P93">
            <v>1.2522327586992663</v>
          </cell>
          <cell r="Q93">
            <v>1.7844549819060285</v>
          </cell>
          <cell r="R93">
            <v>10.917614333615358</v>
          </cell>
          <cell r="S93">
            <v>26.92541827836785</v>
          </cell>
          <cell r="T93">
            <v>6.5915452539643749</v>
          </cell>
          <cell r="U93">
            <v>24.956159354909495</v>
          </cell>
          <cell r="V93">
            <v>47.129411763837226</v>
          </cell>
          <cell r="W93">
            <v>18.988443161006721</v>
          </cell>
          <cell r="X93">
            <v>8.1291030446870227</v>
          </cell>
          <cell r="Y93">
            <v>18.252573475954669</v>
          </cell>
          <cell r="Z93">
            <v>8.90695710603236</v>
          </cell>
          <cell r="AA93">
            <v>16.728526287995415</v>
          </cell>
          <cell r="AB93">
            <v>168.03562109239002</v>
          </cell>
          <cell r="AC93">
            <v>110.41131611118448</v>
          </cell>
          <cell r="AD93">
            <v>19.533379608404509</v>
          </cell>
          <cell r="AE93">
            <v>11.36338667711253</v>
          </cell>
          <cell r="AF93">
            <v>11.816549547912961</v>
          </cell>
          <cell r="AG93">
            <v>1.3111111122718295</v>
          </cell>
          <cell r="AH93">
            <v>2.1253618736120745</v>
          </cell>
          <cell r="AI93">
            <v>35.676946956456305</v>
          </cell>
          <cell r="AJ93">
            <v>3.9014071429013377</v>
          </cell>
          <cell r="AK93">
            <v>5.46690064665255</v>
          </cell>
          <cell r="AL93">
            <v>9.5444958710899321</v>
          </cell>
          <cell r="AM93">
            <v>7.4285422611842389</v>
          </cell>
          <cell r="AN93">
            <v>4326.7637092964915</v>
          </cell>
          <cell r="AO93">
            <v>36.030139470390921</v>
          </cell>
          <cell r="AP93">
            <v>39.902809348954065</v>
          </cell>
          <cell r="AQ93">
            <v>972.23727124123684</v>
          </cell>
          <cell r="AR93">
            <v>157.58024349819641</v>
          </cell>
          <cell r="AS93">
            <v>56.626498909182402</v>
          </cell>
          <cell r="AT93">
            <v>138.10895327493259</v>
          </cell>
          <cell r="AU93">
            <v>0.39985731550423259</v>
          </cell>
          <cell r="AV93">
            <v>2.6347753035478103</v>
          </cell>
          <cell r="AW93">
            <v>16.633799114364976</v>
          </cell>
          <cell r="AX93">
            <v>30.68307730015075</v>
          </cell>
          <cell r="AY93">
            <v>19.587189854692131</v>
          </cell>
          <cell r="AZ93">
            <v>3.3747312747744163</v>
          </cell>
          <cell r="BA93">
            <v>1.2104489155431559</v>
          </cell>
          <cell r="BB93">
            <v>395.88819113621332</v>
          </cell>
          <cell r="BC93">
            <v>6.3641010761823562</v>
          </cell>
          <cell r="BD93">
            <v>18.271431773170324</v>
          </cell>
          <cell r="BE93">
            <v>1.8706590485746115</v>
          </cell>
          <cell r="BF93">
            <v>246.06767364233457</v>
          </cell>
          <cell r="BG93">
            <v>225.28666684422774</v>
          </cell>
          <cell r="BH93">
            <v>43.827695066449593</v>
          </cell>
          <cell r="BI93">
            <v>105.9646135969432</v>
          </cell>
          <cell r="BJ93">
            <v>0.17021231135545745</v>
          </cell>
          <cell r="BK93">
            <v>2.6200007047158373</v>
          </cell>
          <cell r="BL93">
            <v>18.618916042244564</v>
          </cell>
          <cell r="BM93">
            <v>4.4447731297625772</v>
          </cell>
          <cell r="BN93">
            <v>81.088323878528698</v>
          </cell>
        </row>
        <row r="94">
          <cell r="A94" t="str">
            <v>P90</v>
          </cell>
          <cell r="B94" t="str">
            <v>Financial services</v>
          </cell>
          <cell r="C94">
            <v>171533.17926477085</v>
          </cell>
          <cell r="E94">
            <v>3070.6931555290703</v>
          </cell>
          <cell r="F94">
            <v>92.524367463686389</v>
          </cell>
          <cell r="G94">
            <v>236.81080757305153</v>
          </cell>
          <cell r="H94">
            <v>1225.1595443907854</v>
          </cell>
          <cell r="I94">
            <v>189.47400234057369</v>
          </cell>
          <cell r="J94">
            <v>1805.1957715427075</v>
          </cell>
          <cell r="K94">
            <v>2634.0265995764357</v>
          </cell>
          <cell r="L94">
            <v>1610.0834723594903</v>
          </cell>
          <cell r="M94">
            <v>438.66388546930142</v>
          </cell>
          <cell r="N94">
            <v>382.51883935167052</v>
          </cell>
          <cell r="O94">
            <v>535.83527807581504</v>
          </cell>
          <cell r="P94">
            <v>116.53572202018825</v>
          </cell>
          <cell r="Q94">
            <v>147.02551196369487</v>
          </cell>
          <cell r="R94">
            <v>516.42633251718757</v>
          </cell>
          <cell r="S94">
            <v>214.34983988923182</v>
          </cell>
          <cell r="T94">
            <v>594.4612484249343</v>
          </cell>
          <cell r="U94">
            <v>112.19817053506256</v>
          </cell>
          <cell r="V94">
            <v>250.05941205626735</v>
          </cell>
          <cell r="W94">
            <v>1724.8261504939167</v>
          </cell>
          <cell r="X94">
            <v>172.46424577334423</v>
          </cell>
          <cell r="Y94">
            <v>482.03114618679456</v>
          </cell>
          <cell r="Z94">
            <v>93.19471303090755</v>
          </cell>
          <cell r="AA94">
            <v>427.61597138547216</v>
          </cell>
          <cell r="AB94">
            <v>311.24278197330881</v>
          </cell>
          <cell r="AC94">
            <v>290.99587602954449</v>
          </cell>
          <cell r="AD94">
            <v>1250.1128635384393</v>
          </cell>
          <cell r="AE94">
            <v>1416.6118680394659</v>
          </cell>
          <cell r="AF94">
            <v>460.03722060741734</v>
          </cell>
          <cell r="AG94">
            <v>88.99342649865649</v>
          </cell>
          <cell r="AH94">
            <v>620.0332835560389</v>
          </cell>
          <cell r="AI94">
            <v>738.91370089963311</v>
          </cell>
          <cell r="AJ94">
            <v>131.02476574706884</v>
          </cell>
          <cell r="AK94">
            <v>443.34062116638853</v>
          </cell>
          <cell r="AL94">
            <v>447.07505410652146</v>
          </cell>
          <cell r="AM94">
            <v>3398.749058526103</v>
          </cell>
          <cell r="AN94">
            <v>1347.4834136176339</v>
          </cell>
          <cell r="AO94">
            <v>2231.4893326832416</v>
          </cell>
          <cell r="AP94">
            <v>5469.9816664169939</v>
          </cell>
          <cell r="AQ94">
            <v>7647.628721315743</v>
          </cell>
          <cell r="AR94">
            <v>4633.9226135892914</v>
          </cell>
          <cell r="AS94">
            <v>1053.1368605025827</v>
          </cell>
          <cell r="AT94">
            <v>1955.1692928847083</v>
          </cell>
          <cell r="AU94">
            <v>57.093452799573143</v>
          </cell>
          <cell r="AV94">
            <v>588.99567135825964</v>
          </cell>
          <cell r="AW94">
            <v>2478.9931002327867</v>
          </cell>
          <cell r="AX94">
            <v>1785.5373569198641</v>
          </cell>
          <cell r="AY94">
            <v>5254.6857768392956</v>
          </cell>
          <cell r="AZ94">
            <v>35882.142848950927</v>
          </cell>
          <cell r="BA94">
            <v>11.29530577598411</v>
          </cell>
          <cell r="BB94">
            <v>20131.280440885235</v>
          </cell>
          <cell r="BC94">
            <v>1582.9978438748308</v>
          </cell>
          <cell r="BD94">
            <v>323.14776232608739</v>
          </cell>
          <cell r="BE94">
            <v>53.768584289434401</v>
          </cell>
          <cell r="BF94">
            <v>7841.6369029746493</v>
          </cell>
          <cell r="BG94">
            <v>7453.7380936237878</v>
          </cell>
          <cell r="BH94">
            <v>85.767206234294633</v>
          </cell>
          <cell r="BI94">
            <v>426.18598372803194</v>
          </cell>
          <cell r="BJ94">
            <v>2.7156672501201911</v>
          </cell>
          <cell r="BK94">
            <v>21.688480192143651</v>
          </cell>
          <cell r="BL94">
            <v>120.14715880762589</v>
          </cell>
          <cell r="BM94">
            <v>53.669702594947502</v>
          </cell>
          <cell r="BN94">
            <v>3016.4130982572979</v>
          </cell>
        </row>
        <row r="95">
          <cell r="A95" t="str">
            <v>P91</v>
          </cell>
          <cell r="B95" t="str">
            <v xml:space="preserve">Insurance, pension </v>
          </cell>
          <cell r="C95">
            <v>96374.987186190643</v>
          </cell>
          <cell r="E95">
            <v>1060.1285449205943</v>
          </cell>
          <cell r="F95">
            <v>107.61242234531801</v>
          </cell>
          <cell r="G95">
            <v>9.8974929461143297</v>
          </cell>
          <cell r="H95">
            <v>154.8625294678564</v>
          </cell>
          <cell r="I95">
            <v>66.709678850855695</v>
          </cell>
          <cell r="J95">
            <v>342.74877190826885</v>
          </cell>
          <cell r="K95">
            <v>97.470340781004197</v>
          </cell>
          <cell r="L95">
            <v>386.40193573053585</v>
          </cell>
          <cell r="M95">
            <v>65.520815748452804</v>
          </cell>
          <cell r="N95">
            <v>64.847080136618558</v>
          </cell>
          <cell r="O95">
            <v>45.692323275877023</v>
          </cell>
          <cell r="P95">
            <v>10.19950970633059</v>
          </cell>
          <cell r="Q95">
            <v>16.139255149691191</v>
          </cell>
          <cell r="R95">
            <v>92.061322185258504</v>
          </cell>
          <cell r="S95">
            <v>101.88066893389576</v>
          </cell>
          <cell r="T95">
            <v>83.678968541543739</v>
          </cell>
          <cell r="U95">
            <v>67.513931356681994</v>
          </cell>
          <cell r="V95">
            <v>200.43741696039959</v>
          </cell>
          <cell r="W95">
            <v>176.01774714559156</v>
          </cell>
          <cell r="X95">
            <v>29.774663973529478</v>
          </cell>
          <cell r="Y95">
            <v>109.25865159972881</v>
          </cell>
          <cell r="Z95">
            <v>16.957382517532043</v>
          </cell>
          <cell r="AA95">
            <v>55.922035249381395</v>
          </cell>
          <cell r="AB95">
            <v>275.49423910641769</v>
          </cell>
          <cell r="AC95">
            <v>60.707770597036735</v>
          </cell>
          <cell r="AD95">
            <v>153.01400967579946</v>
          </cell>
          <cell r="AE95">
            <v>159.85407714413583</v>
          </cell>
          <cell r="AF95">
            <v>95.110041106838793</v>
          </cell>
          <cell r="AG95">
            <v>16.316740318061679</v>
          </cell>
          <cell r="AH95">
            <v>23.221022994359068</v>
          </cell>
          <cell r="AI95">
            <v>220.81232853680851</v>
          </cell>
          <cell r="AJ95">
            <v>53.169220100755581</v>
          </cell>
          <cell r="AK95">
            <v>59.443761868935745</v>
          </cell>
          <cell r="AL95">
            <v>46.177235470983007</v>
          </cell>
          <cell r="AM95">
            <v>187.63886784971905</v>
          </cell>
          <cell r="AN95">
            <v>60.84256139515584</v>
          </cell>
          <cell r="AO95">
            <v>584.61725641168994</v>
          </cell>
          <cell r="AP95">
            <v>1125.5679020438172</v>
          </cell>
          <cell r="AQ95">
            <v>755.70866865140067</v>
          </cell>
          <cell r="AR95">
            <v>616.42674776107685</v>
          </cell>
          <cell r="AS95">
            <v>131.40345543622755</v>
          </cell>
          <cell r="AT95">
            <v>1850.175978790865</v>
          </cell>
          <cell r="AU95">
            <v>1.2252401081322497</v>
          </cell>
          <cell r="AV95">
            <v>125.93375656854302</v>
          </cell>
          <cell r="AW95">
            <v>167.36716335765357</v>
          </cell>
          <cell r="AX95">
            <v>152.45478079936726</v>
          </cell>
          <cell r="AY95">
            <v>274.52563719980532</v>
          </cell>
          <cell r="AZ95">
            <v>1576.6261188365834</v>
          </cell>
          <cell r="BA95">
            <v>16.965131920528759</v>
          </cell>
          <cell r="BB95">
            <v>746.12253037463154</v>
          </cell>
          <cell r="BC95">
            <v>63.326154168628818</v>
          </cell>
          <cell r="BD95">
            <v>31.206924688639148</v>
          </cell>
          <cell r="BE95">
            <v>9.0542481198162648</v>
          </cell>
          <cell r="BF95">
            <v>747.21986112984996</v>
          </cell>
          <cell r="BG95">
            <v>1469.174363171654</v>
          </cell>
          <cell r="BH95">
            <v>47.574590587110968</v>
          </cell>
          <cell r="BI95">
            <v>492.91494214750458</v>
          </cell>
          <cell r="BJ95">
            <v>10.503707853750207</v>
          </cell>
          <cell r="BK95">
            <v>7.9888347462466065</v>
          </cell>
          <cell r="BL95">
            <v>62.651975621538156</v>
          </cell>
          <cell r="BM95">
            <v>17.472938412696166</v>
          </cell>
          <cell r="BN95">
            <v>429.44341737341188</v>
          </cell>
        </row>
        <row r="96">
          <cell r="A96" t="str">
            <v>P92</v>
          </cell>
          <cell r="B96" t="str">
            <v>Other financial services</v>
          </cell>
          <cell r="C96">
            <v>109955.81390070922</v>
          </cell>
          <cell r="E96">
            <v>0</v>
          </cell>
          <cell r="F96">
            <v>0</v>
          </cell>
          <cell r="G96">
            <v>0</v>
          </cell>
          <cell r="H96">
            <v>1388.9906556404267</v>
          </cell>
          <cell r="I96">
            <v>210.66356760380702</v>
          </cell>
          <cell r="J96">
            <v>4015.3074758397138</v>
          </cell>
          <cell r="K96">
            <v>3389.0007596487562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25827.723028700471</v>
          </cell>
          <cell r="AZ96">
            <v>4449.9300465139022</v>
          </cell>
          <cell r="BA96">
            <v>55728.631537865505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13138.564138241869</v>
          </cell>
        </row>
        <row r="97">
          <cell r="A97" t="str">
            <v>P93</v>
          </cell>
          <cell r="B97" t="str">
            <v>Real estate services</v>
          </cell>
          <cell r="C97">
            <v>224394.33666356665</v>
          </cell>
          <cell r="E97">
            <v>27.567674493051435</v>
          </cell>
          <cell r="F97">
            <v>2.6378286553152592</v>
          </cell>
          <cell r="G97">
            <v>0</v>
          </cell>
          <cell r="H97">
            <v>123.79095692744097</v>
          </cell>
          <cell r="I97">
            <v>167.2883273518905</v>
          </cell>
          <cell r="J97">
            <v>123.6549560587348</v>
          </cell>
          <cell r="K97">
            <v>95.400000109756903</v>
          </cell>
          <cell r="L97">
            <v>1741.1594042468291</v>
          </cell>
          <cell r="M97">
            <v>327.77747193810058</v>
          </cell>
          <cell r="N97">
            <v>247.78900083695771</v>
          </cell>
          <cell r="O97">
            <v>182.66715711883487</v>
          </cell>
          <cell r="P97">
            <v>34.749005066961317</v>
          </cell>
          <cell r="Q97">
            <v>77.832429096541745</v>
          </cell>
          <cell r="R97">
            <v>273.8890449785037</v>
          </cell>
          <cell r="S97">
            <v>423.74198333650509</v>
          </cell>
          <cell r="T97">
            <v>493.70328836904724</v>
          </cell>
          <cell r="U97">
            <v>146.56214862440223</v>
          </cell>
          <cell r="V97">
            <v>500.76430381209673</v>
          </cell>
          <cell r="W97">
            <v>690.30262698268143</v>
          </cell>
          <cell r="X97">
            <v>122.393718580428</v>
          </cell>
          <cell r="Y97">
            <v>531.44692657398741</v>
          </cell>
          <cell r="Z97">
            <v>58.699746056586804</v>
          </cell>
          <cell r="AA97">
            <v>134.51823549022501</v>
          </cell>
          <cell r="AB97">
            <v>263.08128988380651</v>
          </cell>
          <cell r="AC97">
            <v>106.79358413117551</v>
          </cell>
          <cell r="AD97">
            <v>793.51159139031029</v>
          </cell>
          <cell r="AE97">
            <v>665.97086599857653</v>
          </cell>
          <cell r="AF97">
            <v>288.5503496667958</v>
          </cell>
          <cell r="AG97">
            <v>113.75435169235689</v>
          </cell>
          <cell r="AH97">
            <v>157.64127486776459</v>
          </cell>
          <cell r="AI97">
            <v>708.05152902167174</v>
          </cell>
          <cell r="AJ97">
            <v>384.61595519248829</v>
          </cell>
          <cell r="AK97">
            <v>339.42747473937538</v>
          </cell>
          <cell r="AL97">
            <v>245.90114486162804</v>
          </cell>
          <cell r="AM97">
            <v>54.674690117399976</v>
          </cell>
          <cell r="AN97">
            <v>31.857292890206885</v>
          </cell>
          <cell r="AO97">
            <v>1421.5131760653137</v>
          </cell>
          <cell r="AP97">
            <v>4152.4585905799668</v>
          </cell>
          <cell r="AQ97">
            <v>13663.447181925705</v>
          </cell>
          <cell r="AR97">
            <v>3845.0443869158853</v>
          </cell>
          <cell r="AS97">
            <v>2117.2264917913049</v>
          </cell>
          <cell r="AT97">
            <v>2133.6281738678899</v>
          </cell>
          <cell r="AU97">
            <v>3.377095813116497</v>
          </cell>
          <cell r="AV97">
            <v>129.3320885562932</v>
          </cell>
          <cell r="AW97">
            <v>496.45195511155288</v>
          </cell>
          <cell r="AX97">
            <v>2143.1080572686255</v>
          </cell>
          <cell r="AY97">
            <v>1436.5690772443631</v>
          </cell>
          <cell r="AZ97">
            <v>247.51047134967567</v>
          </cell>
          <cell r="BA97">
            <v>88.777078006252808</v>
          </cell>
          <cell r="BB97">
            <v>3197.1471557944274</v>
          </cell>
          <cell r="BC97">
            <v>147.71080272607912</v>
          </cell>
          <cell r="BD97">
            <v>453.08699498983015</v>
          </cell>
          <cell r="BE97">
            <v>37.241835747623448</v>
          </cell>
          <cell r="BF97">
            <v>4845.9168404795546</v>
          </cell>
          <cell r="BG97">
            <v>3703.2196746096261</v>
          </cell>
          <cell r="BH97">
            <v>668.70658179614213</v>
          </cell>
          <cell r="BI97">
            <v>3969.516045594447</v>
          </cell>
          <cell r="BJ97">
            <v>9.4748998240337308</v>
          </cell>
          <cell r="BK97">
            <v>70.347715243133976</v>
          </cell>
          <cell r="BL97">
            <v>623.71430414303552</v>
          </cell>
          <cell r="BM97">
            <v>178.69158605704013</v>
          </cell>
          <cell r="BN97">
            <v>2786.0344854733607</v>
          </cell>
        </row>
        <row r="98">
          <cell r="A98" t="str">
            <v>P94</v>
          </cell>
          <cell r="B98" t="str">
            <v>Leasing, Rental services</v>
          </cell>
          <cell r="C98">
            <v>23084.028899463428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754.91829461517955</v>
          </cell>
          <cell r="M98">
            <v>75.545973806393704</v>
          </cell>
          <cell r="N98">
            <v>37.773910736068927</v>
          </cell>
          <cell r="O98">
            <v>22.462522820478874</v>
          </cell>
          <cell r="P98">
            <v>5.0357372021227818</v>
          </cell>
          <cell r="Q98">
            <v>7.5324904367885006</v>
          </cell>
          <cell r="R98">
            <v>39.802302967218402</v>
          </cell>
          <cell r="S98">
            <v>493.87859125459147</v>
          </cell>
          <cell r="T98">
            <v>104.27092750715775</v>
          </cell>
          <cell r="U98">
            <v>38.24546512153438</v>
          </cell>
          <cell r="V98">
            <v>176.25967295472893</v>
          </cell>
          <cell r="W98">
            <v>173.48732811327505</v>
          </cell>
          <cell r="X98">
            <v>37.82389030177692</v>
          </cell>
          <cell r="Y98">
            <v>43.247366677535467</v>
          </cell>
          <cell r="Z98">
            <v>28.859307536353953</v>
          </cell>
          <cell r="AA98">
            <v>64.576050220406046</v>
          </cell>
          <cell r="AB98">
            <v>126.43130141596447</v>
          </cell>
          <cell r="AC98">
            <v>30.270872285460264</v>
          </cell>
          <cell r="AD98">
            <v>147.35129903147435</v>
          </cell>
          <cell r="AE98">
            <v>135.32012455894386</v>
          </cell>
          <cell r="AF98">
            <v>44.250583615130388</v>
          </cell>
          <cell r="AG98">
            <v>19.474260743351898</v>
          </cell>
          <cell r="AH98">
            <v>20.365846502752564</v>
          </cell>
          <cell r="AI98">
            <v>124.26654068128417</v>
          </cell>
          <cell r="AJ98">
            <v>93.611064729657244</v>
          </cell>
          <cell r="AK98">
            <v>32.188950713638157</v>
          </cell>
          <cell r="AL98">
            <v>47.011920153290141</v>
          </cell>
          <cell r="AM98">
            <v>17.621727671855478</v>
          </cell>
          <cell r="AN98">
            <v>114.67533218198714</v>
          </cell>
          <cell r="AO98">
            <v>2256.6803628504131</v>
          </cell>
          <cell r="AP98">
            <v>1025.3312265863096</v>
          </cell>
          <cell r="AQ98">
            <v>2620.5459429925968</v>
          </cell>
          <cell r="AR98">
            <v>240.56583671283317</v>
          </cell>
          <cell r="AS98">
            <v>107.04770231802527</v>
          </cell>
          <cell r="AT98">
            <v>2858.2840575893788</v>
          </cell>
          <cell r="AU98">
            <v>25.374810638660641</v>
          </cell>
          <cell r="AV98">
            <v>1245.6418891707058</v>
          </cell>
          <cell r="AW98">
            <v>336.13792853118275</v>
          </cell>
          <cell r="AX98">
            <v>887.68151598480631</v>
          </cell>
          <cell r="AY98">
            <v>527.80864122582625</v>
          </cell>
          <cell r="AZ98">
            <v>90.937614933787913</v>
          </cell>
          <cell r="BA98">
            <v>32.61751185982731</v>
          </cell>
          <cell r="BB98">
            <v>251.9174490854875</v>
          </cell>
          <cell r="BC98">
            <v>430.9349091216875</v>
          </cell>
          <cell r="BD98">
            <v>70.631218598854176</v>
          </cell>
          <cell r="BE98">
            <v>34.054308398397673</v>
          </cell>
          <cell r="BF98">
            <v>834.58216438206659</v>
          </cell>
          <cell r="BG98">
            <v>0</v>
          </cell>
          <cell r="BH98">
            <v>245.37351448177395</v>
          </cell>
          <cell r="BI98">
            <v>844.53098736686695</v>
          </cell>
          <cell r="BJ98">
            <v>53.251966783163333</v>
          </cell>
          <cell r="BK98">
            <v>11.817810097797057</v>
          </cell>
          <cell r="BL98">
            <v>158.7763198513947</v>
          </cell>
          <cell r="BM98">
            <v>10.098580729366898</v>
          </cell>
          <cell r="BN98">
            <v>1170.0426379739054</v>
          </cell>
        </row>
        <row r="99">
          <cell r="A99" t="str">
            <v>P95</v>
          </cell>
          <cell r="B99" t="str">
            <v>Research, development</v>
          </cell>
          <cell r="C99">
            <v>3127.0501721340056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14.276223754930689</v>
          </cell>
          <cell r="M99">
            <v>3.1582881108206866</v>
          </cell>
          <cell r="N99">
            <v>5.2115046317478804</v>
          </cell>
          <cell r="O99">
            <v>1.5094962260621128</v>
          </cell>
          <cell r="P99">
            <v>2.4763426250721001</v>
          </cell>
          <cell r="Q99">
            <v>1.6477332904903812</v>
          </cell>
          <cell r="R99">
            <v>1.5352100088709304</v>
          </cell>
          <cell r="S99">
            <v>24.52866071172862</v>
          </cell>
          <cell r="T99">
            <v>26.471178034513837</v>
          </cell>
          <cell r="U99">
            <v>45.600606203801426</v>
          </cell>
          <cell r="V99">
            <v>17.526410445161826</v>
          </cell>
          <cell r="W99">
            <v>36.492644890154708</v>
          </cell>
          <cell r="X99">
            <v>1.0211757107406083</v>
          </cell>
          <cell r="Y99">
            <v>4.2000675659331987</v>
          </cell>
          <cell r="Z99">
            <v>2.5570454685237438</v>
          </cell>
          <cell r="AA99">
            <v>1.6395818470130568</v>
          </cell>
          <cell r="AB99">
            <v>24.115147481299836</v>
          </cell>
          <cell r="AC99">
            <v>3.4790940640458423</v>
          </cell>
          <cell r="AD99">
            <v>8.2185119401639426</v>
          </cell>
          <cell r="AE99">
            <v>41.33570474503265</v>
          </cell>
          <cell r="AF99">
            <v>2.3930426759547672</v>
          </cell>
          <cell r="AG99">
            <v>40.117585284219679</v>
          </cell>
          <cell r="AH99">
            <v>1.8013179675560522</v>
          </cell>
          <cell r="AI99">
            <v>108.41836467845093</v>
          </cell>
          <cell r="AJ99">
            <v>1.79704700190612</v>
          </cell>
          <cell r="AK99">
            <v>1.1703354968392776</v>
          </cell>
          <cell r="AL99">
            <v>5.2959497638278545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4.7573956653045597</v>
          </cell>
          <cell r="AS99">
            <v>0</v>
          </cell>
          <cell r="AT99">
            <v>20.188186922840117</v>
          </cell>
          <cell r="AU99">
            <v>0</v>
          </cell>
          <cell r="AV99">
            <v>4.0016054956052098</v>
          </cell>
          <cell r="AW99">
            <v>2.3026194562732862</v>
          </cell>
          <cell r="AX99">
            <v>8.1251262707764038</v>
          </cell>
          <cell r="AY99">
            <v>269.5006635046534</v>
          </cell>
          <cell r="AZ99">
            <v>46.433016907922514</v>
          </cell>
          <cell r="BA99">
            <v>16.654598658481042</v>
          </cell>
          <cell r="BB99">
            <v>39.278503545212615</v>
          </cell>
          <cell r="BC99">
            <v>3.7688629937688374</v>
          </cell>
          <cell r="BD99">
            <v>10.422957318952779</v>
          </cell>
          <cell r="BE99">
            <v>45.61986664059539</v>
          </cell>
          <cell r="BF99">
            <v>25.441720138808847</v>
          </cell>
          <cell r="BG99">
            <v>0</v>
          </cell>
          <cell r="BH99">
            <v>327.17054662165191</v>
          </cell>
          <cell r="BI99">
            <v>1151.4654009102994</v>
          </cell>
          <cell r="BJ99">
            <v>6.7196814054755558</v>
          </cell>
          <cell r="BK99">
            <v>7.8720249896170715</v>
          </cell>
          <cell r="BL99">
            <v>224.48016609232542</v>
          </cell>
          <cell r="BM99">
            <v>5.3435854456995706</v>
          </cell>
          <cell r="BN99">
            <v>356.18484688858985</v>
          </cell>
        </row>
        <row r="100">
          <cell r="A100" t="str">
            <v>P96</v>
          </cell>
          <cell r="B100" t="str">
            <v xml:space="preserve">Legal, accounting </v>
          </cell>
          <cell r="C100">
            <v>30718.516892550204</v>
          </cell>
          <cell r="E100">
            <v>0</v>
          </cell>
          <cell r="F100">
            <v>0</v>
          </cell>
          <cell r="G100">
            <v>0</v>
          </cell>
          <cell r="H100">
            <v>72.426769496160759</v>
          </cell>
          <cell r="I100">
            <v>4.4605115180294943</v>
          </cell>
          <cell r="J100">
            <v>850.22109119707443</v>
          </cell>
          <cell r="K100">
            <v>34.461284594795842</v>
          </cell>
          <cell r="L100">
            <v>757.01447496612161</v>
          </cell>
          <cell r="M100">
            <v>59.692049167056439</v>
          </cell>
          <cell r="N100">
            <v>38.203874162101215</v>
          </cell>
          <cell r="O100">
            <v>25.676666660776672</v>
          </cell>
          <cell r="P100">
            <v>12.932951394697065</v>
          </cell>
          <cell r="Q100">
            <v>6.7861213195055097</v>
          </cell>
          <cell r="R100">
            <v>23.524946696110653</v>
          </cell>
          <cell r="S100">
            <v>30.404646866178219</v>
          </cell>
          <cell r="T100">
            <v>232.84662386535157</v>
          </cell>
          <cell r="U100">
            <v>6.0405808577887576</v>
          </cell>
          <cell r="V100">
            <v>236.9225503756235</v>
          </cell>
          <cell r="W100">
            <v>1025.053927292148</v>
          </cell>
          <cell r="X100">
            <v>78.492252750260135</v>
          </cell>
          <cell r="Y100">
            <v>23.364843672935521</v>
          </cell>
          <cell r="Z100">
            <v>46.100316330504448</v>
          </cell>
          <cell r="AA100">
            <v>74.248341023879902</v>
          </cell>
          <cell r="AB100">
            <v>48.052701932452216</v>
          </cell>
          <cell r="AC100">
            <v>36.989004282413283</v>
          </cell>
          <cell r="AD100">
            <v>30.203537809387488</v>
          </cell>
          <cell r="AE100">
            <v>105.15749172198497</v>
          </cell>
          <cell r="AF100">
            <v>450.2316435216602</v>
          </cell>
          <cell r="AG100">
            <v>27.405619776289797</v>
          </cell>
          <cell r="AH100">
            <v>2.9231847384375542</v>
          </cell>
          <cell r="AI100">
            <v>1223.1441990187159</v>
          </cell>
          <cell r="AJ100">
            <v>20.601525244519767</v>
          </cell>
          <cell r="AK100">
            <v>92.106811921472485</v>
          </cell>
          <cell r="AL100">
            <v>19.537121247315646</v>
          </cell>
          <cell r="AM100">
            <v>24.026679894947158</v>
          </cell>
          <cell r="AN100">
            <v>10.699846964946456</v>
          </cell>
          <cell r="AO100">
            <v>2307.7987875058134</v>
          </cell>
          <cell r="AP100">
            <v>715.21559178163693</v>
          </cell>
          <cell r="AQ100">
            <v>402.84625355588014</v>
          </cell>
          <cell r="AR100">
            <v>469.75641316837402</v>
          </cell>
          <cell r="AS100">
            <v>1364.0918356280322</v>
          </cell>
          <cell r="AT100">
            <v>108.6080545522387</v>
          </cell>
          <cell r="AU100">
            <v>0</v>
          </cell>
          <cell r="AV100">
            <v>16.369079961439546</v>
          </cell>
          <cell r="AW100">
            <v>15.425338978577502</v>
          </cell>
          <cell r="AX100">
            <v>600.54825135102146</v>
          </cell>
          <cell r="AY100">
            <v>998.42444578362108</v>
          </cell>
          <cell r="AZ100">
            <v>172.02131738556466</v>
          </cell>
          <cell r="BA100">
            <v>61.700621509065208</v>
          </cell>
          <cell r="BB100">
            <v>120.29919808519948</v>
          </cell>
          <cell r="BC100">
            <v>8.9039685722422046</v>
          </cell>
          <cell r="BD100">
            <v>340.49250111269913</v>
          </cell>
          <cell r="BE100">
            <v>5.0088605056699942</v>
          </cell>
          <cell r="BF100">
            <v>253.17546663785055</v>
          </cell>
          <cell r="BG100">
            <v>0</v>
          </cell>
          <cell r="BH100">
            <v>1463.3184564027772</v>
          </cell>
          <cell r="BI100">
            <v>5248.2177558102812</v>
          </cell>
          <cell r="BJ100">
            <v>71.652872842794736</v>
          </cell>
          <cell r="BK100">
            <v>198.15758905883311</v>
          </cell>
          <cell r="BL100">
            <v>1472.8482353919153</v>
          </cell>
          <cell r="BM100">
            <v>93.061654680723478</v>
          </cell>
          <cell r="BN100">
            <v>2780.1933729369248</v>
          </cell>
        </row>
        <row r="101">
          <cell r="A101" t="str">
            <v>P97</v>
          </cell>
          <cell r="B101" t="str">
            <v>Other business services</v>
          </cell>
          <cell r="C101">
            <v>158221.17854177495</v>
          </cell>
          <cell r="E101">
            <v>242.12595470985994</v>
          </cell>
          <cell r="F101">
            <v>23.754490691720356</v>
          </cell>
          <cell r="G101">
            <v>2.4814831199742793</v>
          </cell>
          <cell r="H101">
            <v>1525.4392576439495</v>
          </cell>
          <cell r="I101">
            <v>143.47131090520176</v>
          </cell>
          <cell r="J101">
            <v>1678.6011078359397</v>
          </cell>
          <cell r="K101">
            <v>400.91155830583625</v>
          </cell>
          <cell r="L101">
            <v>7497.779501275345</v>
          </cell>
          <cell r="M101">
            <v>1259.7771650904626</v>
          </cell>
          <cell r="N101">
            <v>243.90354837605886</v>
          </cell>
          <cell r="O101">
            <v>133.11475374047254</v>
          </cell>
          <cell r="P101">
            <v>37.302673870144936</v>
          </cell>
          <cell r="Q101">
            <v>94.015248224749882</v>
          </cell>
          <cell r="R101">
            <v>202.67286298105535</v>
          </cell>
          <cell r="S101">
            <v>388.3987214750577</v>
          </cell>
          <cell r="T101">
            <v>1360.4836788740026</v>
          </cell>
          <cell r="U101">
            <v>159.51954334924051</v>
          </cell>
          <cell r="V101">
            <v>850.87534644167431</v>
          </cell>
          <cell r="W101">
            <v>8525.6263303478736</v>
          </cell>
          <cell r="X101">
            <v>463.64415242993977</v>
          </cell>
          <cell r="Y101">
            <v>342.13490196584479</v>
          </cell>
          <cell r="Z101">
            <v>112.45532238298966</v>
          </cell>
          <cell r="AA101">
            <v>209.26490755576688</v>
          </cell>
          <cell r="AB101">
            <v>178.13176799329798</v>
          </cell>
          <cell r="AC101">
            <v>91.938725524073192</v>
          </cell>
          <cell r="AD101">
            <v>840.3403305510268</v>
          </cell>
          <cell r="AE101">
            <v>824.23971754492641</v>
          </cell>
          <cell r="AF101">
            <v>723.50490172965738</v>
          </cell>
          <cell r="AG101">
            <v>109.30032018657295</v>
          </cell>
          <cell r="AH101">
            <v>112.79171070159499</v>
          </cell>
          <cell r="AI101">
            <v>4760.1848970620376</v>
          </cell>
          <cell r="AJ101">
            <v>109.74277945434856</v>
          </cell>
          <cell r="AK101">
            <v>377.9285115633661</v>
          </cell>
          <cell r="AL101">
            <v>233.66458410449536</v>
          </cell>
          <cell r="AM101">
            <v>40.754733505006136</v>
          </cell>
          <cell r="AN101">
            <v>135.56447948836541</v>
          </cell>
          <cell r="AO101">
            <v>13578.415073773373</v>
          </cell>
          <cell r="AP101">
            <v>8993.8956203192647</v>
          </cell>
          <cell r="AQ101">
            <v>10075.447443656456</v>
          </cell>
          <cell r="AR101">
            <v>2627.0781382877735</v>
          </cell>
          <cell r="AS101">
            <v>1506.0156055299622</v>
          </cell>
          <cell r="AT101">
            <v>2475.4985305971263</v>
          </cell>
          <cell r="AU101">
            <v>0.92157054199445365</v>
          </cell>
          <cell r="AV101">
            <v>782.45470305735796</v>
          </cell>
          <cell r="AW101">
            <v>259.08703833974852</v>
          </cell>
          <cell r="AX101">
            <v>7741.2212182782341</v>
          </cell>
          <cell r="AY101">
            <v>1466.3475273204278</v>
          </cell>
          <cell r="AZ101">
            <v>252.64108311846357</v>
          </cell>
          <cell r="BA101">
            <v>90.617326294471198</v>
          </cell>
          <cell r="BB101">
            <v>3000.27637632094</v>
          </cell>
          <cell r="BC101">
            <v>248.4555122358887</v>
          </cell>
          <cell r="BD101">
            <v>622.02276814290371</v>
          </cell>
          <cell r="BE101">
            <v>25.032932052882604</v>
          </cell>
          <cell r="BF101">
            <v>4625.3608262658317</v>
          </cell>
          <cell r="BG101">
            <v>34847.729185013712</v>
          </cell>
          <cell r="BH101">
            <v>5895.9496063473352</v>
          </cell>
          <cell r="BI101">
            <v>9493.0663649894304</v>
          </cell>
          <cell r="BJ101">
            <v>166.98968548043763</v>
          </cell>
          <cell r="BK101">
            <v>302.00495418251393</v>
          </cell>
          <cell r="BL101">
            <v>4280.1561794433883</v>
          </cell>
          <cell r="BM101">
            <v>317.68187333449521</v>
          </cell>
          <cell r="BN101">
            <v>6342.8482336257384</v>
          </cell>
        </row>
        <row r="102">
          <cell r="A102" t="str">
            <v>P98</v>
          </cell>
          <cell r="B102" t="str">
            <v>Telecommunications</v>
          </cell>
          <cell r="C102">
            <v>136987.06140476809</v>
          </cell>
          <cell r="E102">
            <v>127.97092297484316</v>
          </cell>
          <cell r="F102">
            <v>11.807650361077973</v>
          </cell>
          <cell r="G102">
            <v>0</v>
          </cell>
          <cell r="H102">
            <v>182.55244501434512</v>
          </cell>
          <cell r="I102">
            <v>41.517798474259031</v>
          </cell>
          <cell r="J102">
            <v>485.92963572089496</v>
          </cell>
          <cell r="K102">
            <v>116.06658254271909</v>
          </cell>
          <cell r="L102">
            <v>812.65574521028122</v>
          </cell>
          <cell r="M102">
            <v>178.38168080339003</v>
          </cell>
          <cell r="N102">
            <v>233.35420738215598</v>
          </cell>
          <cell r="O102">
            <v>325.57440076598419</v>
          </cell>
          <cell r="P102">
            <v>40.469416999396742</v>
          </cell>
          <cell r="Q102">
            <v>100.90760103447239</v>
          </cell>
          <cell r="R102">
            <v>269.4990930799417</v>
          </cell>
          <cell r="S102">
            <v>302.01059201392025</v>
          </cell>
          <cell r="T102">
            <v>686.65897505423538</v>
          </cell>
          <cell r="U102">
            <v>23.135944493201382</v>
          </cell>
          <cell r="V102">
            <v>813.13799446521773</v>
          </cell>
          <cell r="W102">
            <v>634.78152934767445</v>
          </cell>
          <cell r="X102">
            <v>103.693143817966</v>
          </cell>
          <cell r="Y102">
            <v>415.72823806513975</v>
          </cell>
          <cell r="Z102">
            <v>42.425544564289545</v>
          </cell>
          <cell r="AA102">
            <v>164.0085436573313</v>
          </cell>
          <cell r="AB102">
            <v>306.66960594337928</v>
          </cell>
          <cell r="AC102">
            <v>133.48478379164825</v>
          </cell>
          <cell r="AD102">
            <v>954.38508554730117</v>
          </cell>
          <cell r="AE102">
            <v>986.68072583834658</v>
          </cell>
          <cell r="AF102">
            <v>332.57939720940431</v>
          </cell>
          <cell r="AG102">
            <v>112.14314815685097</v>
          </cell>
          <cell r="AH102">
            <v>176.77037421350906</v>
          </cell>
          <cell r="AI102">
            <v>673.16842853820026</v>
          </cell>
          <cell r="AJ102">
            <v>191.86521777925805</v>
          </cell>
          <cell r="AK102">
            <v>243.71930077422846</v>
          </cell>
          <cell r="AL102">
            <v>175.88294300862879</v>
          </cell>
          <cell r="AM102">
            <v>242.33600922111282</v>
          </cell>
          <cell r="AN102">
            <v>169.29125710804297</v>
          </cell>
          <cell r="AO102">
            <v>3694.3945727799664</v>
          </cell>
          <cell r="AP102">
            <v>6528.2154904940717</v>
          </cell>
          <cell r="AQ102">
            <v>5808.2727303870915</v>
          </cell>
          <cell r="AR102">
            <v>2719.1564398790556</v>
          </cell>
          <cell r="AS102">
            <v>3028.7693983146373</v>
          </cell>
          <cell r="AT102">
            <v>4008.2757862047029</v>
          </cell>
          <cell r="AU102">
            <v>5.9551087621306875</v>
          </cell>
          <cell r="AV102">
            <v>139.26059451550455</v>
          </cell>
          <cell r="AW102">
            <v>921.68291791592594</v>
          </cell>
          <cell r="AX102">
            <v>2273.2615671297131</v>
          </cell>
          <cell r="AY102">
            <v>3455.3019282641026</v>
          </cell>
          <cell r="AZ102">
            <v>595.32355420080353</v>
          </cell>
          <cell r="BA102">
            <v>213.53070567902509</v>
          </cell>
          <cell r="BB102">
            <v>2848.809980931409</v>
          </cell>
          <cell r="BC102">
            <v>435.38996614492771</v>
          </cell>
          <cell r="BD102">
            <v>1237.5572586274693</v>
          </cell>
          <cell r="BE102">
            <v>153.999668607074</v>
          </cell>
          <cell r="BF102">
            <v>9242.7475085325023</v>
          </cell>
          <cell r="BG102">
            <v>22939.326758721269</v>
          </cell>
          <cell r="BH102">
            <v>1087.6809589769605</v>
          </cell>
          <cell r="BI102">
            <v>4887.9961198266737</v>
          </cell>
          <cell r="BJ102">
            <v>31.102332218912235</v>
          </cell>
          <cell r="BK102">
            <v>153.60771852606712</v>
          </cell>
          <cell r="BL102">
            <v>554.77748002478063</v>
          </cell>
          <cell r="BM102">
            <v>158.60728449694324</v>
          </cell>
          <cell r="BN102">
            <v>4380.1483120089779</v>
          </cell>
        </row>
        <row r="103">
          <cell r="A103" t="str">
            <v>P99</v>
          </cell>
          <cell r="B103" t="str">
            <v>Support services</v>
          </cell>
          <cell r="C103">
            <v>103840.23503362696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4068.0227022309591</v>
          </cell>
          <cell r="M103">
            <v>974.73597785090601</v>
          </cell>
          <cell r="N103">
            <v>359.03375661833843</v>
          </cell>
          <cell r="O103">
            <v>177.35963814571392</v>
          </cell>
          <cell r="P103">
            <v>43.800116652465448</v>
          </cell>
          <cell r="Q103">
            <v>55.670517300946713</v>
          </cell>
          <cell r="R103">
            <v>699.6991665775862</v>
          </cell>
          <cell r="S103">
            <v>1078.2304469054582</v>
          </cell>
          <cell r="T103">
            <v>374.54744549124968</v>
          </cell>
          <cell r="U103">
            <v>950.83024281865755</v>
          </cell>
          <cell r="V103">
            <v>2410.9538354995634</v>
          </cell>
          <cell r="W103">
            <v>1111.46202969093</v>
          </cell>
          <cell r="X103">
            <v>187.40379888682355</v>
          </cell>
          <cell r="Y103">
            <v>529.17251816868168</v>
          </cell>
          <cell r="Z103">
            <v>195.60603473302149</v>
          </cell>
          <cell r="AA103">
            <v>663.12756807000733</v>
          </cell>
          <cell r="AB103">
            <v>3686.1490700265308</v>
          </cell>
          <cell r="AC103">
            <v>496.40406822283751</v>
          </cell>
          <cell r="AD103">
            <v>714.77655194002637</v>
          </cell>
          <cell r="AE103">
            <v>536.42160051994915</v>
          </cell>
          <cell r="AF103">
            <v>574.64529452304714</v>
          </cell>
          <cell r="AG103">
            <v>59.16928309858244</v>
          </cell>
          <cell r="AH103">
            <v>64.519734788165962</v>
          </cell>
          <cell r="AI103">
            <v>1513.223327841305</v>
          </cell>
          <cell r="AJ103">
            <v>112.8421832848893</v>
          </cell>
          <cell r="AK103">
            <v>216.84322323421321</v>
          </cell>
          <cell r="AL103">
            <v>356.38583866435113</v>
          </cell>
          <cell r="AM103">
            <v>2043.696703619479</v>
          </cell>
          <cell r="AN103">
            <v>485.00970015604082</v>
          </cell>
          <cell r="AO103">
            <v>3675.7778775200641</v>
          </cell>
          <cell r="AP103">
            <v>3669.6309824052601</v>
          </cell>
          <cell r="AQ103">
            <v>4064.1548160863117</v>
          </cell>
          <cell r="AR103">
            <v>1463.0101563866074</v>
          </cell>
          <cell r="AS103">
            <v>1038.9880834681901</v>
          </cell>
          <cell r="AT103">
            <v>11384.04916813968</v>
          </cell>
          <cell r="AU103">
            <v>11.758116422048099</v>
          </cell>
          <cell r="AV103">
            <v>321.77100991203247</v>
          </cell>
          <cell r="AW103">
            <v>987.84102068543621</v>
          </cell>
          <cell r="AX103">
            <v>3808.3244940142204</v>
          </cell>
          <cell r="AY103">
            <v>101.48219530650499</v>
          </cell>
          <cell r="AZ103">
            <v>17.484648940163712</v>
          </cell>
          <cell r="BA103">
            <v>6.2713954460532904</v>
          </cell>
          <cell r="BB103">
            <v>5079.0114417310069</v>
          </cell>
          <cell r="BC103">
            <v>334.84759428335065</v>
          </cell>
          <cell r="BD103">
            <v>821.39153141526742</v>
          </cell>
          <cell r="BE103">
            <v>156.63362672164678</v>
          </cell>
          <cell r="BF103">
            <v>1994.5913193664114</v>
          </cell>
          <cell r="BG103">
            <v>0</v>
          </cell>
          <cell r="BH103">
            <v>1826.5427359615799</v>
          </cell>
          <cell r="BI103">
            <v>2878.6359571164185</v>
          </cell>
          <cell r="BJ103">
            <v>68.530255799692426</v>
          </cell>
          <cell r="BK103">
            <v>93.046732205452571</v>
          </cell>
          <cell r="BL103">
            <v>811.400375669597</v>
          </cell>
          <cell r="BM103">
            <v>113.71730035020579</v>
          </cell>
          <cell r="BN103">
            <v>2246.6903919256183</v>
          </cell>
        </row>
        <row r="104">
          <cell r="A104" t="str">
            <v>P100</v>
          </cell>
          <cell r="B104" t="str">
            <v>Manufactured services n.e.c.</v>
          </cell>
          <cell r="C104">
            <v>3668.4846499978403</v>
          </cell>
          <cell r="E104">
            <v>0</v>
          </cell>
          <cell r="F104">
            <v>0</v>
          </cell>
          <cell r="G104">
            <v>0</v>
          </cell>
          <cell r="H104">
            <v>16.057799508404944</v>
          </cell>
          <cell r="I104">
            <v>45.464683424441354</v>
          </cell>
          <cell r="J104">
            <v>579.6175734059417</v>
          </cell>
          <cell r="K104">
            <v>128.52341101609423</v>
          </cell>
          <cell r="L104">
            <v>44.291254785828933</v>
          </cell>
          <cell r="M104">
            <v>5.0260414168906635</v>
          </cell>
          <cell r="N104">
            <v>3.9100587477279021</v>
          </cell>
          <cell r="O104">
            <v>4.1856463529172609</v>
          </cell>
          <cell r="P104">
            <v>0.80637345458198884</v>
          </cell>
          <cell r="Q104">
            <v>1.4623032676197427</v>
          </cell>
          <cell r="R104">
            <v>4.1696473360503852</v>
          </cell>
          <cell r="S104">
            <v>6.2436020846509832</v>
          </cell>
          <cell r="T104">
            <v>116.4909068747652</v>
          </cell>
          <cell r="U104">
            <v>3.5476427693602188</v>
          </cell>
          <cell r="V104">
            <v>16.12263761540283</v>
          </cell>
          <cell r="W104">
            <v>35.665116125548735</v>
          </cell>
          <cell r="X104">
            <v>2.5156321555753038</v>
          </cell>
          <cell r="Y104">
            <v>15.081815416773809</v>
          </cell>
          <cell r="Z104">
            <v>1.632691758703547</v>
          </cell>
          <cell r="AA104">
            <v>3.7163499248217082</v>
          </cell>
          <cell r="AB104">
            <v>8.6188182850799464</v>
          </cell>
          <cell r="AC104">
            <v>2.3437931749797438</v>
          </cell>
          <cell r="AD104">
            <v>11.428039237996277</v>
          </cell>
          <cell r="AE104">
            <v>15.009285050750591</v>
          </cell>
          <cell r="AF104">
            <v>7.3903275282569414</v>
          </cell>
          <cell r="AG104">
            <v>1.5302832819265322</v>
          </cell>
          <cell r="AH104">
            <v>2.6456748582963678</v>
          </cell>
          <cell r="AI104">
            <v>22.857324675002886</v>
          </cell>
          <cell r="AJ104">
            <v>2.8030673294487434</v>
          </cell>
          <cell r="AK104">
            <v>4.5489943813610481</v>
          </cell>
          <cell r="AL104">
            <v>2.9447066018472707</v>
          </cell>
          <cell r="AM104">
            <v>2.1655649508202606</v>
          </cell>
          <cell r="AN104">
            <v>1.4696548935292955</v>
          </cell>
          <cell r="AO104">
            <v>13.69492283878486</v>
          </cell>
          <cell r="AP104">
            <v>393.56044347735417</v>
          </cell>
          <cell r="AQ104">
            <v>144.13899394978557</v>
          </cell>
          <cell r="AR104">
            <v>16.546495789107915</v>
          </cell>
          <cell r="AS104">
            <v>22.611947028496925</v>
          </cell>
          <cell r="AT104">
            <v>29.720375575012778</v>
          </cell>
          <cell r="AU104">
            <v>0.13806854365861979</v>
          </cell>
          <cell r="AV104">
            <v>3.5377783108987693</v>
          </cell>
          <cell r="AW104">
            <v>6.4311060144664385</v>
          </cell>
          <cell r="AX104">
            <v>26.236567548256957</v>
          </cell>
          <cell r="AY104">
            <v>651.55799712005341</v>
          </cell>
          <cell r="AZ104">
            <v>112.25873474053739</v>
          </cell>
          <cell r="BA104">
            <v>40.264973019522451</v>
          </cell>
          <cell r="BB104">
            <v>44.85553319813846</v>
          </cell>
          <cell r="BC104">
            <v>6.118314972514975</v>
          </cell>
          <cell r="BD104">
            <v>8.582187694222517</v>
          </cell>
          <cell r="BE104">
            <v>4.4540131011061481</v>
          </cell>
          <cell r="BF104">
            <v>150.06478246771584</v>
          </cell>
          <cell r="BG104">
            <v>0</v>
          </cell>
          <cell r="BH104">
            <v>31.725573771589165</v>
          </cell>
          <cell r="BI104">
            <v>89.119667463504271</v>
          </cell>
          <cell r="BJ104">
            <v>0.34088560387968342</v>
          </cell>
          <cell r="BK104">
            <v>3.7038332350105145</v>
          </cell>
          <cell r="BL104">
            <v>8.1933838615928885</v>
          </cell>
          <cell r="BM104">
            <v>1.8957076850395835</v>
          </cell>
          <cell r="BN104">
            <v>360.00184767529896</v>
          </cell>
        </row>
        <row r="105">
          <cell r="A105" t="str">
            <v>P101</v>
          </cell>
          <cell r="B105" t="str">
            <v>Public administration</v>
          </cell>
          <cell r="C105">
            <v>439087.58699476381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403.08119900703275</v>
          </cell>
          <cell r="AU105">
            <v>3.5830345262328125</v>
          </cell>
          <cell r="AV105">
            <v>37.472210586577248</v>
          </cell>
          <cell r="AW105">
            <v>46.373840403102882</v>
          </cell>
          <cell r="AX105">
            <v>359.34881375295652</v>
          </cell>
          <cell r="AY105">
            <v>31.258781802663258</v>
          </cell>
          <cell r="AZ105">
            <v>5.3856622283939597</v>
          </cell>
          <cell r="BA105">
            <v>1.9317298098874371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35978.82215382751</v>
          </cell>
          <cell r="BH105">
            <v>0</v>
          </cell>
          <cell r="BI105">
            <v>4766.2598571416966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39.89335044593625</v>
          </cell>
        </row>
        <row r="106">
          <cell r="A106" t="str">
            <v>P102</v>
          </cell>
          <cell r="B106" t="str">
            <v>Education services</v>
          </cell>
          <cell r="C106">
            <v>33155.42423882852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0.35318117441465868</v>
          </cell>
          <cell r="K106">
            <v>0.59645538883127247</v>
          </cell>
          <cell r="L106">
            <v>32.218313655943035</v>
          </cell>
          <cell r="M106">
            <v>11.03516295983848</v>
          </cell>
          <cell r="N106">
            <v>2.7851861021385398</v>
          </cell>
          <cell r="O106">
            <v>2.1426855584834632</v>
          </cell>
          <cell r="P106">
            <v>0.99737308006646941</v>
          </cell>
          <cell r="Q106">
            <v>0.59013662989637172</v>
          </cell>
          <cell r="R106">
            <v>2.9105967260844769</v>
          </cell>
          <cell r="S106">
            <v>11.625587990936001</v>
          </cell>
          <cell r="T106">
            <v>7.7752263622235542</v>
          </cell>
          <cell r="U106">
            <v>0.46218851404062311</v>
          </cell>
          <cell r="V106">
            <v>18.38346823195927</v>
          </cell>
          <cell r="W106">
            <v>25.921867441519606</v>
          </cell>
          <cell r="X106">
            <v>3.6689056624476724</v>
          </cell>
          <cell r="Y106">
            <v>6.9741290221875873</v>
          </cell>
          <cell r="Z106">
            <v>1.5804252885872723</v>
          </cell>
          <cell r="AA106">
            <v>2.2617192995220337</v>
          </cell>
          <cell r="AB106">
            <v>16.870501005127135</v>
          </cell>
          <cell r="AC106">
            <v>2.7659784898971709</v>
          </cell>
          <cell r="AD106">
            <v>6.4185320621641697</v>
          </cell>
          <cell r="AE106">
            <v>18.161780852662964</v>
          </cell>
          <cell r="AF106">
            <v>284.96130065736992</v>
          </cell>
          <cell r="AG106">
            <v>1.9005980832561034</v>
          </cell>
          <cell r="AH106">
            <v>1.9925414326796276</v>
          </cell>
          <cell r="AI106">
            <v>16.059884468556604</v>
          </cell>
          <cell r="AJ106">
            <v>2.756410072076612</v>
          </cell>
          <cell r="AK106">
            <v>1.4207393259258709</v>
          </cell>
          <cell r="AL106">
            <v>1.8185626523434846</v>
          </cell>
          <cell r="AM106">
            <v>8.5106097763829798</v>
          </cell>
          <cell r="AN106">
            <v>32.517466784601979</v>
          </cell>
          <cell r="AO106">
            <v>0</v>
          </cell>
          <cell r="AP106">
            <v>40.913875229307081</v>
          </cell>
          <cell r="AQ106">
            <v>32.717940200217903</v>
          </cell>
          <cell r="AR106">
            <v>31.494590627395944</v>
          </cell>
          <cell r="AS106">
            <v>13.092054069572253</v>
          </cell>
          <cell r="AT106">
            <v>128.69187854230898</v>
          </cell>
          <cell r="AU106">
            <v>8.135837197464485E-2</v>
          </cell>
          <cell r="AV106">
            <v>3.1800109720918237</v>
          </cell>
          <cell r="AW106">
            <v>73.507754867827245</v>
          </cell>
          <cell r="AX106">
            <v>30.568230218956863</v>
          </cell>
          <cell r="AY106">
            <v>342.66848858421554</v>
          </cell>
          <cell r="AZ106">
            <v>59.039304457847798</v>
          </cell>
          <cell r="BA106">
            <v>21.176223004660052</v>
          </cell>
          <cell r="BB106">
            <v>82.440118269430187</v>
          </cell>
          <cell r="BC106">
            <v>3.3288381755553558</v>
          </cell>
          <cell r="BD106">
            <v>19.41028576503869</v>
          </cell>
          <cell r="BE106">
            <v>8.5468530375440093</v>
          </cell>
          <cell r="BF106">
            <v>242.92838212753534</v>
          </cell>
          <cell r="BG106">
            <v>0</v>
          </cell>
          <cell r="BH106">
            <v>22.978822217221445</v>
          </cell>
          <cell r="BI106">
            <v>40.206583302465859</v>
          </cell>
          <cell r="BJ106">
            <v>0.25108812827976501</v>
          </cell>
          <cell r="BK106">
            <v>2.7281543833321429</v>
          </cell>
          <cell r="BL106">
            <v>16.257683773338805</v>
          </cell>
          <cell r="BM106">
            <v>0.97136183488679861</v>
          </cell>
          <cell r="BN106">
            <v>211.26359422958629</v>
          </cell>
        </row>
        <row r="107">
          <cell r="A107" t="str">
            <v>P103</v>
          </cell>
          <cell r="B107" t="str">
            <v>Health, social services</v>
          </cell>
          <cell r="C107">
            <v>101395.95665532484</v>
          </cell>
          <cell r="E107">
            <v>2506.319049924035</v>
          </cell>
          <cell r="F107">
            <v>253.92554217490186</v>
          </cell>
          <cell r="G107">
            <v>23.873412372139786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29.179992469167988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552.21884972470173</v>
          </cell>
          <cell r="AU107">
            <v>4.9087360300465086</v>
          </cell>
          <cell r="AV107">
            <v>51.336706047657579</v>
          </cell>
          <cell r="AW107">
            <v>63.531886051255356</v>
          </cell>
          <cell r="AX107">
            <v>492.3057415464591</v>
          </cell>
          <cell r="AY107">
            <v>971.07494286754206</v>
          </cell>
          <cell r="AZ107">
            <v>167.30919566084822</v>
          </cell>
          <cell r="BA107">
            <v>60.0104772672926</v>
          </cell>
          <cell r="BB107">
            <v>5047.3272122963835</v>
          </cell>
          <cell r="BC107">
            <v>217.67504903132175</v>
          </cell>
          <cell r="BD107">
            <v>537.99056144277824</v>
          </cell>
          <cell r="BE107">
            <v>120.62568232467757</v>
          </cell>
          <cell r="BF107">
            <v>5388.5042896036593</v>
          </cell>
          <cell r="BG107">
            <v>9048.3135689779465</v>
          </cell>
          <cell r="BH107">
            <v>1490.1709470168962</v>
          </cell>
          <cell r="BI107">
            <v>286.68666597908771</v>
          </cell>
          <cell r="BJ107">
            <v>51.047382038181311</v>
          </cell>
          <cell r="BK107">
            <v>89.702080235153787</v>
          </cell>
          <cell r="BL107">
            <v>852.65387650460139</v>
          </cell>
          <cell r="BM107">
            <v>60.890397455008163</v>
          </cell>
          <cell r="BN107">
            <v>1442.3238299698487</v>
          </cell>
        </row>
        <row r="108">
          <cell r="A108" t="str">
            <v>P104</v>
          </cell>
          <cell r="B108" t="str">
            <v>Other services n.e.c.</v>
          </cell>
          <cell r="C108">
            <v>142506.71871117319</v>
          </cell>
          <cell r="E108">
            <v>775.90206448573838</v>
          </cell>
          <cell r="F108">
            <v>78.933786814824032</v>
          </cell>
          <cell r="G108">
            <v>6.9033928042846764</v>
          </cell>
          <cell r="H108">
            <v>1098.7914821745371</v>
          </cell>
          <cell r="I108">
            <v>156.60077069894555</v>
          </cell>
          <cell r="J108">
            <v>1832.3702551625511</v>
          </cell>
          <cell r="K108">
            <v>437.62482965052368</v>
          </cell>
          <cell r="L108">
            <v>6684.0028534292951</v>
          </cell>
          <cell r="M108">
            <v>3190.2139965673859</v>
          </cell>
          <cell r="N108">
            <v>1071.0138748833874</v>
          </cell>
          <cell r="O108">
            <v>555.35410710477879</v>
          </cell>
          <cell r="P108">
            <v>220.58475149027319</v>
          </cell>
          <cell r="Q108">
            <v>232.20948401547719</v>
          </cell>
          <cell r="R108">
            <v>829.77485070885757</v>
          </cell>
          <cell r="S108">
            <v>3951.9227480261434</v>
          </cell>
          <cell r="T108">
            <v>1745.6962009157887</v>
          </cell>
          <cell r="U108">
            <v>807.48857155640212</v>
          </cell>
          <cell r="V108">
            <v>3263.2634025919178</v>
          </cell>
          <cell r="W108">
            <v>3704.9778465525833</v>
          </cell>
          <cell r="X108">
            <v>275.14254882906818</v>
          </cell>
          <cell r="Y108">
            <v>1579.4927407779719</v>
          </cell>
          <cell r="Z108">
            <v>205.79600629523264</v>
          </cell>
          <cell r="AA108">
            <v>957.77872073203878</v>
          </cell>
          <cell r="AB108">
            <v>4551.8223986762359</v>
          </cell>
          <cell r="AC108">
            <v>1274.2194588380341</v>
          </cell>
          <cell r="AD108">
            <v>1877.1601607607545</v>
          </cell>
          <cell r="AE108">
            <v>1857.4488373380573</v>
          </cell>
          <cell r="AF108">
            <v>1405.8237311373236</v>
          </cell>
          <cell r="AG108">
            <v>192.70252281666467</v>
          </cell>
          <cell r="AH108">
            <v>224.71319076703466</v>
          </cell>
          <cell r="AI108">
            <v>6937.4871696217515</v>
          </cell>
          <cell r="AJ108">
            <v>1111.5070600787465</v>
          </cell>
          <cell r="AK108">
            <v>811.7651739175609</v>
          </cell>
          <cell r="AL108">
            <v>503.55072838903789</v>
          </cell>
          <cell r="AM108">
            <v>33.308686227678699</v>
          </cell>
          <cell r="AN108">
            <v>43.949531363540551</v>
          </cell>
          <cell r="AO108">
            <v>1013.5661525337816</v>
          </cell>
          <cell r="AP108">
            <v>0</v>
          </cell>
          <cell r="AQ108">
            <v>147.27594881960479</v>
          </cell>
          <cell r="AR108">
            <v>295.46043608178024</v>
          </cell>
          <cell r="AS108">
            <v>982.10752020705615</v>
          </cell>
          <cell r="AT108">
            <v>3519.1691830550863</v>
          </cell>
          <cell r="AU108">
            <v>31.386298714760706</v>
          </cell>
          <cell r="AV108">
            <v>328.46061762055638</v>
          </cell>
          <cell r="AW108">
            <v>405.37724063104577</v>
          </cell>
          <cell r="AX108">
            <v>3141.409750365638</v>
          </cell>
          <cell r="AY108">
            <v>115.4793749933182</v>
          </cell>
          <cell r="AZ108">
            <v>19.896261856470371</v>
          </cell>
          <cell r="BA108">
            <v>7.1363929826196602</v>
          </cell>
          <cell r="BB108">
            <v>3695.487336799441</v>
          </cell>
          <cell r="BC108">
            <v>165.14552407870724</v>
          </cell>
          <cell r="BD108">
            <v>423.48085888976726</v>
          </cell>
          <cell r="BE108">
            <v>89.246850111460262</v>
          </cell>
          <cell r="BF108">
            <v>3946.6549153645042</v>
          </cell>
          <cell r="BG108">
            <v>970.26688623896928</v>
          </cell>
          <cell r="BH108">
            <v>423.78442486523551</v>
          </cell>
          <cell r="BI108">
            <v>260.27518034964464</v>
          </cell>
          <cell r="BJ108">
            <v>19.058193407683866</v>
          </cell>
          <cell r="BK108">
            <v>39.316582151555544</v>
          </cell>
          <cell r="BL108">
            <v>251.79512854806148</v>
          </cell>
          <cell r="BM108">
            <v>12.875811494887222</v>
          </cell>
          <cell r="BN108">
            <v>1668.0382734285859</v>
          </cell>
        </row>
        <row r="109">
          <cell r="A109" t="str">
            <v>D1</v>
          </cell>
          <cell r="B109" t="str">
            <v>Purchases by non- residents</v>
          </cell>
          <cell r="C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</row>
        <row r="110">
          <cell r="A110" t="str">
            <v>D2</v>
          </cell>
          <cell r="B110" t="str">
            <v>Purchases by residents</v>
          </cell>
          <cell r="C110">
            <v>30755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</row>
        <row r="111">
          <cell r="B111" t="str">
            <v>Total Industry</v>
          </cell>
          <cell r="C111">
            <v>5068291.2687752387</v>
          </cell>
          <cell r="E111">
            <v>60037.000000237611</v>
          </cell>
          <cell r="F111">
            <v>5867.9999999897509</v>
          </cell>
          <cell r="G111">
            <v>771.00000000298826</v>
          </cell>
          <cell r="H111">
            <v>27650.478051099089</v>
          </cell>
          <cell r="I111">
            <v>16115.651522742521</v>
          </cell>
          <cell r="J111">
            <v>58508.333189807738</v>
          </cell>
          <cell r="K111">
            <v>17867.681371313356</v>
          </cell>
          <cell r="L111">
            <v>137727.60456262124</v>
          </cell>
          <cell r="M111">
            <v>35973.125149191175</v>
          </cell>
          <cell r="N111">
            <v>14629.691523192614</v>
          </cell>
          <cell r="O111">
            <v>10133.599221210174</v>
          </cell>
          <cell r="P111">
            <v>3584.7914598539055</v>
          </cell>
          <cell r="Q111">
            <v>4231.4920315254049</v>
          </cell>
          <cell r="R111">
            <v>17053.433410107831</v>
          </cell>
          <cell r="S111">
            <v>37309.120668217322</v>
          </cell>
          <cell r="T111">
            <v>19216.128254751984</v>
          </cell>
          <cell r="U111">
            <v>65396.012615706284</v>
          </cell>
          <cell r="V111">
            <v>61802.556200497762</v>
          </cell>
          <cell r="W111">
            <v>68047.955318592605</v>
          </cell>
          <cell r="X111">
            <v>8235.3428236045165</v>
          </cell>
          <cell r="Y111">
            <v>19223.492311156744</v>
          </cell>
          <cell r="Z111">
            <v>4856.7109265980816</v>
          </cell>
          <cell r="AA111">
            <v>22195.067270080493</v>
          </cell>
          <cell r="AB111">
            <v>82234.555594638936</v>
          </cell>
          <cell r="AC111">
            <v>24523.72650404934</v>
          </cell>
          <cell r="AD111">
            <v>40427.257292853472</v>
          </cell>
          <cell r="AE111">
            <v>37265.572560207947</v>
          </cell>
          <cell r="AF111">
            <v>25422.468652363787</v>
          </cell>
          <cell r="AG111">
            <v>5586.0113611058605</v>
          </cell>
          <cell r="AH111">
            <v>3798.8789626198432</v>
          </cell>
          <cell r="AI111">
            <v>139390.49718279537</v>
          </cell>
          <cell r="AJ111">
            <v>8404.8773181812285</v>
          </cell>
          <cell r="AK111">
            <v>12043.439245685131</v>
          </cell>
          <cell r="AL111">
            <v>19020.381946155245</v>
          </cell>
          <cell r="AM111">
            <v>28041.871890458777</v>
          </cell>
          <cell r="AN111">
            <v>14822.617002083087</v>
          </cell>
          <cell r="AO111">
            <v>133335.97325799291</v>
          </cell>
          <cell r="AP111">
            <v>83267.655245511763</v>
          </cell>
          <cell r="AQ111">
            <v>68057.363157745131</v>
          </cell>
          <cell r="AR111">
            <v>29136.140758514284</v>
          </cell>
          <cell r="AS111">
            <v>25545.997102236212</v>
          </cell>
          <cell r="AT111">
            <v>80908.804490524795</v>
          </cell>
          <cell r="AU111">
            <v>946.45786999655616</v>
          </cell>
          <cell r="AV111">
            <v>13784.432419999881</v>
          </cell>
          <cell r="AW111">
            <v>15205.744809160222</v>
          </cell>
          <cell r="AX111">
            <v>80272.514105893817</v>
          </cell>
          <cell r="AY111">
            <v>43494.99999971583</v>
          </cell>
          <cell r="AZ111">
            <v>44000.000000010565</v>
          </cell>
          <cell r="BA111">
            <v>56507.000000206201</v>
          </cell>
          <cell r="BB111">
            <v>76152.522921429816</v>
          </cell>
          <cell r="BC111">
            <v>5703.7861766399728</v>
          </cell>
          <cell r="BD111">
            <v>11369.066838961553</v>
          </cell>
          <cell r="BE111">
            <v>1725.0000000989533</v>
          </cell>
          <cell r="BF111">
            <v>76234.040483597113</v>
          </cell>
          <cell r="BG111">
            <v>176306</v>
          </cell>
          <cell r="BH111">
            <v>18362.729707935559</v>
          </cell>
          <cell r="BI111">
            <v>58053.999999608044</v>
          </cell>
          <cell r="BJ111">
            <v>619.32808782418215</v>
          </cell>
          <cell r="BK111">
            <v>1355.729049071361</v>
          </cell>
          <cell r="BL111">
            <v>14772.07460526785</v>
          </cell>
          <cell r="BM111">
            <v>1595.1385492826839</v>
          </cell>
          <cell r="BN111">
            <v>88196.648999789657</v>
          </cell>
        </row>
        <row r="113">
          <cell r="A113" t="str">
            <v>V1</v>
          </cell>
          <cell r="B113" t="str">
            <v>Total gross value added / GDP</v>
          </cell>
          <cell r="D113">
            <v>224109</v>
          </cell>
          <cell r="E113">
            <v>45109</v>
          </cell>
          <cell r="F113">
            <v>6939</v>
          </cell>
          <cell r="G113">
            <v>1742</v>
          </cell>
          <cell r="H113">
            <v>28289.2146307</v>
          </cell>
          <cell r="I113">
            <v>30604.686373799996</v>
          </cell>
          <cell r="J113">
            <v>80526.178827540294</v>
          </cell>
          <cell r="K113">
            <v>17352.819973401034</v>
          </cell>
          <cell r="L113">
            <v>34503.761664860707</v>
          </cell>
          <cell r="M113">
            <v>21795.667687800749</v>
          </cell>
          <cell r="N113">
            <v>3787.6505795160142</v>
          </cell>
          <cell r="O113">
            <v>4794.6164465429492</v>
          </cell>
          <cell r="P113">
            <v>751.44184094406194</v>
          </cell>
          <cell r="Q113">
            <v>1490.5079650850939</v>
          </cell>
          <cell r="R113">
            <v>8501.2716768214013</v>
          </cell>
          <cell r="S113">
            <v>10736.716150373753</v>
          </cell>
          <cell r="T113">
            <v>8815.3385796144466</v>
          </cell>
          <cell r="U113">
            <v>20534.599862844188</v>
          </cell>
          <cell r="V113">
            <v>15724.480122197099</v>
          </cell>
          <cell r="W113">
            <v>19955.305499164177</v>
          </cell>
          <cell r="X113">
            <v>3313.4054759303563</v>
          </cell>
          <cell r="Y113">
            <v>9640.8380028925603</v>
          </cell>
          <cell r="Z113">
            <v>2267.8071654000005</v>
          </cell>
          <cell r="AA113">
            <v>9389.7540765100021</v>
          </cell>
          <cell r="AB113">
            <v>23642.481783551324</v>
          </cell>
          <cell r="AC113">
            <v>11809.170344062306</v>
          </cell>
          <cell r="AD113">
            <v>16520.255457130315</v>
          </cell>
          <cell r="AE113">
            <v>14017.215867057221</v>
          </cell>
          <cell r="AF113">
            <v>8133.6093615399996</v>
          </cell>
          <cell r="AG113">
            <v>2395.8396492999996</v>
          </cell>
          <cell r="AH113">
            <v>1653.9583131099998</v>
          </cell>
          <cell r="AI113">
            <v>21133.982101000016</v>
          </cell>
          <cell r="AJ113">
            <v>3706.5143949466997</v>
          </cell>
          <cell r="AK113">
            <v>3593.679924500002</v>
          </cell>
          <cell r="AL113">
            <v>13200.548249930001</v>
          </cell>
          <cell r="AM113">
            <v>31393.128110287504</v>
          </cell>
          <cell r="AN113">
            <v>10389.382997879999</v>
          </cell>
          <cell r="AO113">
            <v>48189.598360841737</v>
          </cell>
          <cell r="AP113">
            <v>74441.571772552794</v>
          </cell>
          <cell r="AQ113">
            <v>60099.468546450844</v>
          </cell>
          <cell r="AR113">
            <v>35697.700678388777</v>
          </cell>
          <cell r="AS113">
            <v>18007.631472900473</v>
          </cell>
          <cell r="AT113">
            <v>70929.447211156614</v>
          </cell>
          <cell r="AU113">
            <v>384.85321099999965</v>
          </cell>
          <cell r="AV113">
            <v>3787.8338400000011</v>
          </cell>
          <cell r="AW113">
            <v>22713.918273389943</v>
          </cell>
          <cell r="AX113">
            <v>57737.087650158966</v>
          </cell>
          <cell r="AY113">
            <v>92001</v>
          </cell>
          <cell r="AZ113">
            <v>54119</v>
          </cell>
          <cell r="BA113">
            <v>52317</v>
          </cell>
          <cell r="BB113">
            <v>120050.36290123698</v>
          </cell>
          <cell r="BC113">
            <v>4716.5815872700869</v>
          </cell>
          <cell r="BD113">
            <v>4117.7782504119687</v>
          </cell>
          <cell r="BE113">
            <v>1127.9999777585356</v>
          </cell>
          <cell r="BF113">
            <v>59960.283080587251</v>
          </cell>
          <cell r="BG113">
            <v>259802</v>
          </cell>
          <cell r="BH113">
            <v>14956.235728641117</v>
          </cell>
          <cell r="BI113">
            <v>42375.999951374019</v>
          </cell>
          <cell r="BJ113">
            <v>299.87103739175143</v>
          </cell>
          <cell r="BK113">
            <v>599.86911112294911</v>
          </cell>
          <cell r="BL113">
            <v>3449.8091649997241</v>
          </cell>
          <cell r="BM113">
            <v>480.21478121327664</v>
          </cell>
          <cell r="BN113">
            <v>141555.75099999999</v>
          </cell>
        </row>
        <row r="114">
          <cell r="A114" t="str">
            <v>V2</v>
          </cell>
          <cell r="B114" t="str">
            <v>Compensation of employees</v>
          </cell>
          <cell r="E114">
            <v>12703</v>
          </cell>
          <cell r="F114">
            <v>1337</v>
          </cell>
          <cell r="G114">
            <v>611</v>
          </cell>
          <cell r="H114">
            <v>10409.807140000001</v>
          </cell>
          <cell r="I114">
            <v>20700.090378599998</v>
          </cell>
          <cell r="J114">
            <v>19154.286611393833</v>
          </cell>
          <cell r="K114">
            <v>6751.0379307104595</v>
          </cell>
          <cell r="L114">
            <v>17661.282685895894</v>
          </cell>
          <cell r="M114">
            <v>6996.4435130152306</v>
          </cell>
          <cell r="N114">
            <v>2672.4772758668082</v>
          </cell>
          <cell r="O114">
            <v>3957.8677193186991</v>
          </cell>
          <cell r="P114">
            <v>363.940233731121</v>
          </cell>
          <cell r="Q114">
            <v>712.75299865418197</v>
          </cell>
          <cell r="R114">
            <v>4288.2789039439467</v>
          </cell>
          <cell r="S114">
            <v>4629.5522862601256</v>
          </cell>
          <cell r="T114">
            <v>7519.8635155670218</v>
          </cell>
          <cell r="U114">
            <v>2442.657542277881</v>
          </cell>
          <cell r="V114">
            <v>5403.314808394477</v>
          </cell>
          <cell r="W114">
            <v>12051.753340064588</v>
          </cell>
          <cell r="X114">
            <v>1988.6119957911581</v>
          </cell>
          <cell r="Y114">
            <v>8149.22179402041</v>
          </cell>
          <cell r="Z114">
            <v>1366.2456872000002</v>
          </cell>
          <cell r="AA114">
            <v>2881.5215533199998</v>
          </cell>
          <cell r="AB114">
            <v>10284.648039789052</v>
          </cell>
          <cell r="AC114">
            <v>2469.3609771208457</v>
          </cell>
          <cell r="AD114">
            <v>13734.236614471425</v>
          </cell>
          <cell r="AE114">
            <v>11391.515255316281</v>
          </cell>
          <cell r="AF114">
            <v>5327.2681000729999</v>
          </cell>
          <cell r="AG114">
            <v>1659.6031819520001</v>
          </cell>
          <cell r="AH114">
            <v>698.82361016800007</v>
          </cell>
          <cell r="AI114">
            <v>13324.749485954002</v>
          </cell>
          <cell r="AJ114">
            <v>3041.4165479742996</v>
          </cell>
          <cell r="AK114">
            <v>2889.6311525600004</v>
          </cell>
          <cell r="AL114">
            <v>2625.2956861659995</v>
          </cell>
          <cell r="AM114">
            <v>12933.303687048103</v>
          </cell>
          <cell r="AN114">
            <v>2252.3937180473999</v>
          </cell>
          <cell r="AO114">
            <v>23743.834867386191</v>
          </cell>
          <cell r="AP114">
            <v>42797.914131994636</v>
          </cell>
          <cell r="AQ114">
            <v>36272.549899898215</v>
          </cell>
          <cell r="AR114">
            <v>17999.439775661529</v>
          </cell>
          <cell r="AS114">
            <v>6678.8392449443745</v>
          </cell>
          <cell r="AT114">
            <v>26879.271194282694</v>
          </cell>
          <cell r="AU114">
            <v>73.618803100000036</v>
          </cell>
          <cell r="AV114">
            <v>1522.577237</v>
          </cell>
          <cell r="AW114">
            <v>9953.2394061725972</v>
          </cell>
          <cell r="AX114">
            <v>17355.94646573026</v>
          </cell>
          <cell r="AY114">
            <v>41550</v>
          </cell>
          <cell r="AZ114">
            <v>16965</v>
          </cell>
          <cell r="BA114">
            <v>32865</v>
          </cell>
          <cell r="BB114">
            <v>5864.218198665345</v>
          </cell>
          <cell r="BC114">
            <v>1247.5989349371948</v>
          </cell>
          <cell r="BD114">
            <v>3480.7991475614226</v>
          </cell>
          <cell r="BE114">
            <v>1109.2218665108571</v>
          </cell>
          <cell r="BF114">
            <v>44591.055070991686</v>
          </cell>
          <cell r="BG114">
            <v>225220</v>
          </cell>
          <cell r="BH114">
            <v>7320.8166815843251</v>
          </cell>
          <cell r="BI114">
            <v>19678.004743426012</v>
          </cell>
          <cell r="BJ114">
            <v>170.4058576973737</v>
          </cell>
          <cell r="BK114">
            <v>401.12840678638759</v>
          </cell>
          <cell r="BL114">
            <v>2765.9343318073875</v>
          </cell>
          <cell r="BM114">
            <v>366.0405603395975</v>
          </cell>
          <cell r="BN114">
            <v>58122</v>
          </cell>
        </row>
        <row r="115">
          <cell r="A115" t="str">
            <v>V3</v>
          </cell>
          <cell r="B115" t="str">
            <v>Taxes less subsidies</v>
          </cell>
          <cell r="D115">
            <v>224109</v>
          </cell>
          <cell r="E115">
            <v>-167.54414562697593</v>
          </cell>
          <cell r="F115">
            <v>94.967429674299112</v>
          </cell>
          <cell r="G115">
            <v>11.390890201364268</v>
          </cell>
          <cell r="H115">
            <v>400.45987188750087</v>
          </cell>
          <cell r="I115">
            <v>536.56638781249262</v>
          </cell>
          <cell r="J115">
            <v>426.78211733357932</v>
          </cell>
          <cell r="K115">
            <v>161.00676013314623</v>
          </cell>
          <cell r="L115">
            <v>30.336751243721082</v>
          </cell>
          <cell r="M115">
            <v>257.09465206733671</v>
          </cell>
          <cell r="N115">
            <v>24.109189990388831</v>
          </cell>
          <cell r="O115">
            <v>42.928059840668539</v>
          </cell>
          <cell r="P115">
            <v>-6.893279364028837</v>
          </cell>
          <cell r="Q115">
            <v>29.805765836769595</v>
          </cell>
          <cell r="R115">
            <v>63.044752378878783</v>
          </cell>
          <cell r="S115">
            <v>-10.778784468648876</v>
          </cell>
          <cell r="T115">
            <v>123.80221905216241</v>
          </cell>
          <cell r="U115">
            <v>280.66392964605251</v>
          </cell>
          <cell r="V115">
            <v>-1000.2523602433625</v>
          </cell>
          <cell r="W115">
            <v>215.83544920519796</v>
          </cell>
          <cell r="X115">
            <v>-1.2943113717323014</v>
          </cell>
          <cell r="Y115">
            <v>-45.819943553624014</v>
          </cell>
          <cell r="Z115">
            <v>16.709681347878703</v>
          </cell>
          <cell r="AA115">
            <v>22.088765186787001</v>
          </cell>
          <cell r="AB115">
            <v>126.97536881992673</v>
          </cell>
          <cell r="AC115">
            <v>1.8055224702780635</v>
          </cell>
          <cell r="AD115">
            <v>-28.477924170288684</v>
          </cell>
          <cell r="AE115">
            <v>-287.06565269039675</v>
          </cell>
          <cell r="AF115">
            <v>73.958426274323642</v>
          </cell>
          <cell r="AG115">
            <v>2.484946950841799</v>
          </cell>
          <cell r="AH115">
            <v>32.371563524606245</v>
          </cell>
          <cell r="AI115">
            <v>-179.75778740221622</v>
          </cell>
          <cell r="AJ115">
            <v>20.785609234851272</v>
          </cell>
          <cell r="AK115">
            <v>14.62993691554562</v>
          </cell>
          <cell r="AL115">
            <v>39.037110792963354</v>
          </cell>
          <cell r="AM115">
            <v>-168.41828790450711</v>
          </cell>
          <cell r="AN115">
            <v>-283.36867208848594</v>
          </cell>
          <cell r="AO115">
            <v>655.75674408371913</v>
          </cell>
          <cell r="AP115">
            <v>1847.3614429257084</v>
          </cell>
          <cell r="AQ115">
            <v>1510.9140523288943</v>
          </cell>
          <cell r="AR115">
            <v>605.97381453167407</v>
          </cell>
          <cell r="AS115">
            <v>427.60331669098883</v>
          </cell>
          <cell r="AT115">
            <v>1172.038985604989</v>
          </cell>
          <cell r="AU115">
            <v>26.163997666128658</v>
          </cell>
          <cell r="AV115">
            <v>97.120645836956783</v>
          </cell>
          <cell r="AW115">
            <v>238.58617545581481</v>
          </cell>
          <cell r="AX115">
            <v>480.96512781910008</v>
          </cell>
          <cell r="AY115">
            <v>1462.0759605993576</v>
          </cell>
          <cell r="AZ115">
            <v>1034.1710039207724</v>
          </cell>
          <cell r="BA115">
            <v>606.05390612021597</v>
          </cell>
          <cell r="BB115">
            <v>11358.223675365118</v>
          </cell>
          <cell r="BC115">
            <v>98.35982931583429</v>
          </cell>
          <cell r="BD115">
            <v>88.792172817069897</v>
          </cell>
          <cell r="BE115">
            <v>-5.0341026524285226</v>
          </cell>
          <cell r="BF115">
            <v>584.51225740360815</v>
          </cell>
          <cell r="BG115">
            <v>3339.4056770914203</v>
          </cell>
          <cell r="BH115">
            <v>487.7235331989362</v>
          </cell>
          <cell r="BI115">
            <v>835.94020184300871</v>
          </cell>
          <cell r="BJ115">
            <v>-169.90096451946263</v>
          </cell>
          <cell r="BK115">
            <v>57.028594881365905</v>
          </cell>
          <cell r="BL115">
            <v>216.64023748055541</v>
          </cell>
          <cell r="BM115">
            <v>59.54564620758017</v>
          </cell>
          <cell r="BN115">
            <v>0</v>
          </cell>
        </row>
        <row r="116">
          <cell r="A116" t="str">
            <v>V4</v>
          </cell>
          <cell r="B116" t="str">
            <v xml:space="preserve">   Taxes on products</v>
          </cell>
          <cell r="D116">
            <v>230000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</row>
        <row r="117">
          <cell r="A117" t="str">
            <v>V5</v>
          </cell>
          <cell r="B117" t="str">
            <v xml:space="preserve">   Subsidies on products</v>
          </cell>
          <cell r="D117">
            <v>-5891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</row>
        <row r="118">
          <cell r="A118" t="str">
            <v>V6</v>
          </cell>
          <cell r="B118" t="str">
            <v xml:space="preserve">   Other taxes less subsidies</v>
          </cell>
          <cell r="E118">
            <v>-167.54414562697593</v>
          </cell>
          <cell r="F118">
            <v>94.967429674299112</v>
          </cell>
          <cell r="G118">
            <v>11.390890201364268</v>
          </cell>
          <cell r="H118">
            <v>400.45987188750087</v>
          </cell>
          <cell r="I118">
            <v>536.56638781249262</v>
          </cell>
          <cell r="J118">
            <v>426.78211733357932</v>
          </cell>
          <cell r="K118">
            <v>161.00676013314626</v>
          </cell>
          <cell r="L118">
            <v>30.336751243721153</v>
          </cell>
          <cell r="M118">
            <v>257.09465206733671</v>
          </cell>
          <cell r="N118">
            <v>24.109189990388828</v>
          </cell>
          <cell r="O118">
            <v>42.928059840668539</v>
          </cell>
          <cell r="P118">
            <v>-6.893279364028837</v>
          </cell>
          <cell r="Q118">
            <v>29.805765836769595</v>
          </cell>
          <cell r="R118">
            <v>63.044752378878805</v>
          </cell>
          <cell r="S118">
            <v>-10.77878446864888</v>
          </cell>
          <cell r="T118">
            <v>123.80221905216243</v>
          </cell>
          <cell r="U118">
            <v>280.66392964605245</v>
          </cell>
          <cell r="V118">
            <v>-1000.2523602433625</v>
          </cell>
          <cell r="W118">
            <v>215.83544920519796</v>
          </cell>
          <cell r="X118">
            <v>-1.2943113717323023</v>
          </cell>
          <cell r="Y118">
            <v>-45.819943553624014</v>
          </cell>
          <cell r="Z118">
            <v>16.709681347878703</v>
          </cell>
          <cell r="AA118">
            <v>22.088765186786986</v>
          </cell>
          <cell r="AB118">
            <v>126.97536881992676</v>
          </cell>
          <cell r="AC118">
            <v>1.8055224702780635</v>
          </cell>
          <cell r="AD118">
            <v>-28.477924170288674</v>
          </cell>
          <cell r="AE118">
            <v>-287.06565269039675</v>
          </cell>
          <cell r="AF118">
            <v>73.958426274323614</v>
          </cell>
          <cell r="AG118">
            <v>2.484946950841799</v>
          </cell>
          <cell r="AH118">
            <v>32.371563524606259</v>
          </cell>
          <cell r="AI118">
            <v>-179.75778740221625</v>
          </cell>
          <cell r="AJ118">
            <v>20.785609234851275</v>
          </cell>
          <cell r="AK118">
            <v>14.62993691554562</v>
          </cell>
          <cell r="AL118">
            <v>39.037110792963361</v>
          </cell>
          <cell r="AM118">
            <v>-168.41828790450717</v>
          </cell>
          <cell r="AN118">
            <v>-283.36867208848594</v>
          </cell>
          <cell r="AO118">
            <v>655.75674408371913</v>
          </cell>
          <cell r="AP118">
            <v>1847.3614429257084</v>
          </cell>
          <cell r="AQ118">
            <v>1510.9140523288943</v>
          </cell>
          <cell r="AR118">
            <v>605.97381453167407</v>
          </cell>
          <cell r="AS118">
            <v>427.60331669098883</v>
          </cell>
          <cell r="AT118">
            <v>1172.038985604989</v>
          </cell>
          <cell r="AU118">
            <v>26.163997666128658</v>
          </cell>
          <cell r="AV118">
            <v>97.120645836956783</v>
          </cell>
          <cell r="AW118">
            <v>238.58617545581481</v>
          </cell>
          <cell r="AX118">
            <v>480.96512781910008</v>
          </cell>
          <cell r="AY118">
            <v>1462.0759605993576</v>
          </cell>
          <cell r="AZ118">
            <v>1034.1710039207724</v>
          </cell>
          <cell r="BA118">
            <v>606.05390612021597</v>
          </cell>
          <cell r="BB118">
            <v>11358.223675365118</v>
          </cell>
          <cell r="BC118">
            <v>98.35982931583429</v>
          </cell>
          <cell r="BD118">
            <v>88.792172817069897</v>
          </cell>
          <cell r="BE118">
            <v>-5.0341026524285226</v>
          </cell>
          <cell r="BF118">
            <v>584.51225740360815</v>
          </cell>
          <cell r="BG118">
            <v>3339.4056770914203</v>
          </cell>
          <cell r="BH118">
            <v>487.7235331989362</v>
          </cell>
          <cell r="BI118">
            <v>835.94020184300871</v>
          </cell>
          <cell r="BJ118">
            <v>-169.90096451946263</v>
          </cell>
          <cell r="BK118">
            <v>57.028594881365905</v>
          </cell>
          <cell r="BL118">
            <v>216.64023748055541</v>
          </cell>
          <cell r="BM118">
            <v>59.54564620758017</v>
          </cell>
          <cell r="BN118">
            <v>0</v>
          </cell>
        </row>
        <row r="119">
          <cell r="A119" t="str">
            <v>V7</v>
          </cell>
          <cell r="B119" t="str">
            <v>GOS / mixed income</v>
          </cell>
          <cell r="E119">
            <v>32573.544145626976</v>
          </cell>
          <cell r="F119">
            <v>5507.0325703257004</v>
          </cell>
          <cell r="G119">
            <v>1119.6091097986357</v>
          </cell>
          <cell r="H119">
            <v>17478.947618812497</v>
          </cell>
          <cell r="I119">
            <v>9368.0296073875052</v>
          </cell>
          <cell r="J119">
            <v>60945.110098812875</v>
          </cell>
          <cell r="K119">
            <v>10440.775282557428</v>
          </cell>
          <cell r="L119">
            <v>16812.142227721091</v>
          </cell>
          <cell r="M119">
            <v>14542.129522718184</v>
          </cell>
          <cell r="N119">
            <v>1091.0641136588174</v>
          </cell>
          <cell r="O119">
            <v>793.82066738358219</v>
          </cell>
          <cell r="P119">
            <v>394.39488657696978</v>
          </cell>
          <cell r="Q119">
            <v>747.94920059414233</v>
          </cell>
          <cell r="R119">
            <v>4149.9480204985757</v>
          </cell>
          <cell r="S119">
            <v>6117.942648582276</v>
          </cell>
          <cell r="T119">
            <v>1171.6728449952639</v>
          </cell>
          <cell r="U119">
            <v>17811.278390920255</v>
          </cell>
          <cell r="V119">
            <v>11321.417674045984</v>
          </cell>
          <cell r="W119">
            <v>7687.7167098943937</v>
          </cell>
          <cell r="X119">
            <v>1326.0877915109304</v>
          </cell>
          <cell r="Y119">
            <v>1537.4361524257743</v>
          </cell>
          <cell r="Z119">
            <v>884.85179685212154</v>
          </cell>
          <cell r="AA119">
            <v>6486.1437580032161</v>
          </cell>
          <cell r="AB119">
            <v>13230.858374942347</v>
          </cell>
          <cell r="AC119">
            <v>9338.0038444711827</v>
          </cell>
          <cell r="AD119">
            <v>2814.4967668291783</v>
          </cell>
          <cell r="AE119">
            <v>2912.7662644313377</v>
          </cell>
          <cell r="AF119">
            <v>2732.3828351926759</v>
          </cell>
          <cell r="AG119">
            <v>733.75152039715761</v>
          </cell>
          <cell r="AH119">
            <v>922.7631394173934</v>
          </cell>
          <cell r="AI119">
            <v>7988.9904024482312</v>
          </cell>
          <cell r="AJ119">
            <v>644.31223773754868</v>
          </cell>
          <cell r="AK119">
            <v>689.41883502445603</v>
          </cell>
          <cell r="AL119">
            <v>10536.215452971037</v>
          </cell>
          <cell r="AM119">
            <v>18628.24271114391</v>
          </cell>
          <cell r="AN119">
            <v>8420.3579519210853</v>
          </cell>
          <cell r="AO119">
            <v>23790.006749371838</v>
          </cell>
          <cell r="AP119">
            <v>29796.296197632448</v>
          </cell>
          <cell r="AQ119">
            <v>22316.004594223738</v>
          </cell>
          <cell r="AR119">
            <v>17092.287088195575</v>
          </cell>
          <cell r="AS119">
            <v>10901.188911265108</v>
          </cell>
          <cell r="AT119">
            <v>42878.13703126894</v>
          </cell>
          <cell r="AU119">
            <v>285.07041023387097</v>
          </cell>
          <cell r="AV119">
            <v>2168.1359571630446</v>
          </cell>
          <cell r="AW119">
            <v>12522.092691761529</v>
          </cell>
          <cell r="AX119">
            <v>39900.176056609613</v>
          </cell>
          <cell r="AY119">
            <v>48988.924039400641</v>
          </cell>
          <cell r="AZ119">
            <v>36119.828996079224</v>
          </cell>
          <cell r="BA119">
            <v>18845.946093879786</v>
          </cell>
          <cell r="BB119">
            <v>102827.92102720652</v>
          </cell>
          <cell r="BC119">
            <v>3370.6228230170573</v>
          </cell>
          <cell r="BD119">
            <v>548.18693003347619</v>
          </cell>
          <cell r="BE119">
            <v>23.812213900106904</v>
          </cell>
          <cell r="BF119">
            <v>14784.715752191971</v>
          </cell>
          <cell r="BG119">
            <v>31242.594322908579</v>
          </cell>
          <cell r="BH119">
            <v>7147.695513857856</v>
          </cell>
          <cell r="BI119">
            <v>21862.055006104998</v>
          </cell>
          <cell r="BJ119">
            <v>299.36614421384036</v>
          </cell>
          <cell r="BK119">
            <v>141.71210945519562</v>
          </cell>
          <cell r="BL119">
            <v>467.2345957117812</v>
          </cell>
          <cell r="BM119">
            <v>54.628574666098963</v>
          </cell>
          <cell r="BN119">
            <v>83433.751000000004</v>
          </cell>
        </row>
        <row r="121">
          <cell r="B121" t="str">
            <v>Total output at basic prices</v>
          </cell>
          <cell r="E121">
            <v>105146</v>
          </cell>
          <cell r="F121">
            <v>12807</v>
          </cell>
          <cell r="G121">
            <v>2513</v>
          </cell>
          <cell r="H121">
            <v>55939.692681699999</v>
          </cell>
          <cell r="I121">
            <v>46720.337896999998</v>
          </cell>
          <cell r="J121">
            <v>139034.51201760437</v>
          </cell>
          <cell r="K121">
            <v>35220.5013446382</v>
          </cell>
          <cell r="L121">
            <v>172231.3662278142</v>
          </cell>
          <cell r="M121">
            <v>57768.792836818306</v>
          </cell>
          <cell r="N121">
            <v>18417.342102705599</v>
          </cell>
          <cell r="O121">
            <v>14928.2156677452</v>
          </cell>
          <cell r="P121">
            <v>4336.2333008422002</v>
          </cell>
          <cell r="Q121">
            <v>5721.9999966375999</v>
          </cell>
          <cell r="R121">
            <v>25554.705086882801</v>
          </cell>
          <cell r="S121">
            <v>48045.836818889409</v>
          </cell>
          <cell r="T121">
            <v>28031.4668347552</v>
          </cell>
          <cell r="U121">
            <v>85930.612478279989</v>
          </cell>
          <cell r="V121">
            <v>77527.036322489992</v>
          </cell>
          <cell r="W121">
            <v>88003.260817625007</v>
          </cell>
          <cell r="X121">
            <v>11548.748299575</v>
          </cell>
          <cell r="Y121">
            <v>28864.330314400002</v>
          </cell>
          <cell r="Z121">
            <v>7124.5180920000003</v>
          </cell>
          <cell r="AA121">
            <v>31584.821346600005</v>
          </cell>
          <cell r="AB121">
            <v>105877.0373785336</v>
          </cell>
          <cell r="AC121">
            <v>36332.896848428005</v>
          </cell>
          <cell r="AD121">
            <v>56947.512750267808</v>
          </cell>
          <cell r="AE121">
            <v>51282.788427256499</v>
          </cell>
          <cell r="AF121">
            <v>33556.078013939994</v>
          </cell>
          <cell r="AG121">
            <v>7981.8510103399994</v>
          </cell>
          <cell r="AH121">
            <v>5452.8372756799999</v>
          </cell>
          <cell r="AI121">
            <v>160524.479284</v>
          </cell>
          <cell r="AJ121">
            <v>12111.391713123001</v>
          </cell>
          <cell r="AK121">
            <v>15637.119169700001</v>
          </cell>
          <cell r="AL121">
            <v>32220.930196109999</v>
          </cell>
          <cell r="AM121">
            <v>59435.000000870008</v>
          </cell>
          <cell r="AN121">
            <v>25212</v>
          </cell>
          <cell r="AO121">
            <v>181525.57161927668</v>
          </cell>
          <cell r="AP121">
            <v>157709.2270174255</v>
          </cell>
          <cell r="AQ121">
            <v>128156.83170396578</v>
          </cell>
          <cell r="AR121">
            <v>64833.841436577495</v>
          </cell>
          <cell r="AS121">
            <v>43553.628575538503</v>
          </cell>
          <cell r="AT121">
            <v>151838.25170128312</v>
          </cell>
          <cell r="AU121">
            <v>1331.3110809999998</v>
          </cell>
          <cell r="AV121">
            <v>17572.26626</v>
          </cell>
          <cell r="AW121">
            <v>37919.66308246713</v>
          </cell>
          <cell r="AX121">
            <v>138009.60175632083</v>
          </cell>
          <cell r="AY121">
            <v>135496</v>
          </cell>
          <cell r="AZ121">
            <v>98119</v>
          </cell>
          <cell r="BA121">
            <v>108824</v>
          </cell>
          <cell r="BB121">
            <v>196202.88582224879</v>
          </cell>
          <cell r="BC121">
            <v>10420.367763960299</v>
          </cell>
          <cell r="BD121">
            <v>15486.845089377999</v>
          </cell>
          <cell r="BE121">
            <v>2852.99997785592</v>
          </cell>
          <cell r="BF121">
            <v>136194.32356403978</v>
          </cell>
          <cell r="BG121">
            <v>436108</v>
          </cell>
          <cell r="BH121">
            <v>33318.965436551254</v>
          </cell>
          <cell r="BI121">
            <v>100429.999950967</v>
          </cell>
          <cell r="BJ121">
            <v>919.19912521912522</v>
          </cell>
          <cell r="BK121">
            <v>1955.5981601940002</v>
          </cell>
          <cell r="BL121">
            <v>18221.883770393499</v>
          </cell>
          <cell r="BM121">
            <v>2075.3533304572993</v>
          </cell>
          <cell r="BN121">
            <v>229752.4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ChangeLog"/>
      <sheetName val="NameConv"/>
      <sheetName val="Industry desription"/>
      <sheetName val="SIC codes"/>
      <sheetName val="REGIONS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DOE 2006 native units"/>
      <sheetName val="2006-2009"/>
      <sheetName val="Industry VA"/>
      <sheetName val="Sources"/>
      <sheetName val="1992-2006 industry"/>
      <sheetName val="DoE2013 Industry EB"/>
      <sheetName val="digest "/>
      <sheetName val="DMR1"/>
      <sheetName val="mining general info"/>
      <sheetName val="I&amp;S - prod"/>
      <sheetName val="I&amp;S - prod 2"/>
      <sheetName val="I&amp;S - prod 3"/>
      <sheetName val="End uses"/>
      <sheetName val="EIA end use"/>
      <sheetName val="Aluminium"/>
      <sheetName val="Eskom sales data"/>
      <sheetName val="Eskom Annual YB"/>
      <sheetName val="eskom yb sector sales"/>
      <sheetName val="NERSA Elec"/>
      <sheetName val="REPORT TABLES"/>
      <sheetName val="Tech Efficiencies"/>
      <sheetName val="Coal prices"/>
      <sheetName val="Electricity prices"/>
      <sheetName val="ELEC CALCS ADRIAN IGNORE"/>
      <sheetName val="FA-Items"/>
      <sheetName val="FA-TSData"/>
      <sheetName val="FA-TIDData"/>
      <sheetName val="FerroAlloys"/>
      <sheetName val="Aluminium - Items"/>
      <sheetName val="Aluminium - TIDData"/>
      <sheetName val="Aluminium - TSData"/>
      <sheetName val="Aluminium Data"/>
      <sheetName val="NMM-Items"/>
      <sheetName val="NMM-TSData"/>
      <sheetName val="NMM-TIDData"/>
      <sheetName val="NMM data"/>
      <sheetName val="Coking coal"/>
      <sheetName val="COGEN"/>
      <sheetName val="Payback from EIA"/>
      <sheetName val="SasolGasSales"/>
      <sheetName val="2012 SATIM EB"/>
      <sheetName val="2017 SATIM EB"/>
      <sheetName val="IND old - 2006BY"/>
      <sheetName val="IND"/>
      <sheetName val="IND2017"/>
      <sheetName val="PAMS central control panel"/>
      <sheetName val="ITEMS_Tech"/>
      <sheetName val="ITEMS_Comm"/>
      <sheetName val="TS DTech"/>
      <sheetName val="TS DMARK"/>
      <sheetName val="TID DTech"/>
      <sheetName val="TS BYDem"/>
      <sheetName val="TS COMFRN"/>
      <sheetName val="TS COMFR"/>
      <sheetName val="TS COMFRN_10"/>
      <sheetName val="TS COMFR_10"/>
      <sheetName val="TS ETech"/>
      <sheetName val="TID ETech"/>
      <sheetName val="TS GTech"/>
      <sheetName val="TID GTech"/>
      <sheetName val="TS FTech"/>
      <sheetName val="TID FTech"/>
      <sheetName val="TS Emiss"/>
      <sheetName val="TID Emiss"/>
      <sheetName val="AFA"/>
      <sheetName val="Sc1 Standards"/>
      <sheetName val="Sc2 Audits"/>
      <sheetName val="Sc3 En Man"/>
      <sheetName val="Sc4 Accreditation"/>
      <sheetName val="Sc5 Education"/>
      <sheetName val="Sc6 NEEA"/>
      <sheetName val="Sc7 Finance"/>
    </sheetNames>
    <sheetDataSet>
      <sheetData sheetId="0">
        <row r="10">
          <cell r="B10">
            <v>1</v>
          </cell>
        </row>
        <row r="11">
          <cell r="B11">
            <v>1.3094103081137336</v>
          </cell>
        </row>
        <row r="17">
          <cell r="E17">
            <v>0</v>
          </cell>
        </row>
        <row r="18">
          <cell r="E18">
            <v>0</v>
          </cell>
        </row>
        <row r="19">
          <cell r="E19">
            <v>0</v>
          </cell>
        </row>
        <row r="20">
          <cell r="E20">
            <v>0</v>
          </cell>
        </row>
        <row r="21">
          <cell r="E21">
            <v>1</v>
          </cell>
        </row>
      </sheetData>
      <sheetData sheetId="1"/>
      <sheetData sheetId="2">
        <row r="31">
          <cell r="F31">
            <v>1E-8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>
        <row r="13">
          <cell r="M13">
            <v>0</v>
          </cell>
        </row>
      </sheetData>
      <sheetData sheetId="58"/>
      <sheetData sheetId="59">
        <row r="2">
          <cell r="C2" t="b">
            <v>0</v>
          </cell>
        </row>
        <row r="3">
          <cell r="C3" t="b">
            <v>0</v>
          </cell>
        </row>
        <row r="10">
          <cell r="D10" t="str">
            <v>High</v>
          </cell>
        </row>
      </sheetData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t conversion"/>
      <sheetName val="Eskom sales data"/>
      <sheetName val="Electricity consumption"/>
      <sheetName val="Original IEA Data"/>
      <sheetName val="DoE Energy Balance"/>
      <sheetName val="Aggregated DoE"/>
      <sheetName val="Chem&amp;Pet"/>
      <sheetName val="F&amp;D"/>
      <sheetName val="I&amp;S"/>
      <sheetName val="P&amp;P"/>
      <sheetName val="NFM"/>
      <sheetName val="NMM"/>
      <sheetName val="Mining"/>
      <sheetName val="Other"/>
      <sheetName val="Coke Balance"/>
    </sheetNames>
    <sheetDataSet>
      <sheetData sheetId="0">
        <row r="5">
          <cell r="B5" t="str">
            <v>PJ</v>
          </cell>
          <cell r="E5">
            <v>1000000000000000</v>
          </cell>
        </row>
        <row r="6">
          <cell r="B6" t="str">
            <v>TJ</v>
          </cell>
          <cell r="E6">
            <v>1000000000000</v>
          </cell>
        </row>
        <row r="7">
          <cell r="B7" t="str">
            <v>GJ</v>
          </cell>
          <cell r="E7">
            <v>1000000000</v>
          </cell>
        </row>
        <row r="8">
          <cell r="B8" t="str">
            <v>J</v>
          </cell>
          <cell r="E8">
            <v>1</v>
          </cell>
        </row>
        <row r="9">
          <cell r="B9" t="str">
            <v>MJ</v>
          </cell>
          <cell r="E9">
            <v>1000000</v>
          </cell>
        </row>
        <row r="10">
          <cell r="B10" t="str">
            <v>kWh</v>
          </cell>
          <cell r="E10">
            <v>3600000</v>
          </cell>
        </row>
        <row r="11">
          <cell r="B11" t="str">
            <v>kWh/p/d (UK)</v>
          </cell>
          <cell r="E11">
            <v>7.8894E+16</v>
          </cell>
        </row>
        <row r="12">
          <cell r="B12" t="str">
            <v>TWh</v>
          </cell>
          <cell r="E12">
            <v>3600000000000000</v>
          </cell>
        </row>
        <row r="13">
          <cell r="B13" t="str">
            <v>GWh</v>
          </cell>
          <cell r="E13">
            <v>3600000000000</v>
          </cell>
        </row>
        <row r="14">
          <cell r="B14" t="str">
            <v>MWh</v>
          </cell>
          <cell r="E14">
            <v>3600000000</v>
          </cell>
        </row>
        <row r="15">
          <cell r="B15" t="str">
            <v>boe</v>
          </cell>
          <cell r="E15">
            <v>5861520000</v>
          </cell>
        </row>
        <row r="16">
          <cell r="B16" t="str">
            <v>Mboe</v>
          </cell>
          <cell r="E16">
            <v>5861520000000000</v>
          </cell>
        </row>
        <row r="17">
          <cell r="B17" t="str">
            <v>toe</v>
          </cell>
          <cell r="E17">
            <v>41868000000</v>
          </cell>
        </row>
        <row r="18">
          <cell r="B18" t="str">
            <v>ktoe</v>
          </cell>
          <cell r="E18">
            <v>41868000000000</v>
          </cell>
        </row>
        <row r="19">
          <cell r="B19" t="str">
            <v>Mtoe</v>
          </cell>
          <cell r="E19">
            <v>4.1868E+16</v>
          </cell>
        </row>
        <row r="20">
          <cell r="B20" t="str">
            <v>therm</v>
          </cell>
          <cell r="E20">
            <v>105506136.12882091</v>
          </cell>
        </row>
        <row r="21">
          <cell r="B21" t="str">
            <v>Btu</v>
          </cell>
          <cell r="E21">
            <v>1055.0613612882091</v>
          </cell>
        </row>
        <row r="22">
          <cell r="B22" t="str">
            <v>kgce</v>
          </cell>
          <cell r="E22">
            <v>29307600</v>
          </cell>
        </row>
        <row r="23">
          <cell r="B23" t="str">
            <v>tce</v>
          </cell>
          <cell r="E23">
            <v>29307600000</v>
          </cell>
        </row>
        <row r="24">
          <cell r="B24" t="str">
            <v>calorie</v>
          </cell>
          <cell r="E24">
            <v>4.1840000000000002</v>
          </cell>
        </row>
        <row r="25">
          <cell r="B25" t="str">
            <v>GW y</v>
          </cell>
          <cell r="E25">
            <v>3.1556879999999996E+16</v>
          </cell>
        </row>
        <row r="32">
          <cell r="B32" t="str">
            <v>GW</v>
          </cell>
          <cell r="E32">
            <v>1000000000</v>
          </cell>
        </row>
        <row r="33">
          <cell r="B33" t="str">
            <v>MW</v>
          </cell>
          <cell r="E33">
            <v>1000000</v>
          </cell>
        </row>
        <row r="34">
          <cell r="B34" t="str">
            <v>kW</v>
          </cell>
          <cell r="E34">
            <v>1000</v>
          </cell>
        </row>
        <row r="35">
          <cell r="B35" t="str">
            <v>W</v>
          </cell>
          <cell r="E35">
            <v>1</v>
          </cell>
          <cell r="F35">
            <v>1.0000000000000001E-9</v>
          </cell>
        </row>
        <row r="36">
          <cell r="B36" t="str">
            <v>mcm/d</v>
          </cell>
          <cell r="E36">
            <v>335648148.14814812</v>
          </cell>
        </row>
        <row r="37">
          <cell r="B37" t="str">
            <v>Mtoe/y</v>
          </cell>
          <cell r="E37">
            <v>1326716860.597764</v>
          </cell>
        </row>
        <row r="42">
          <cell r="F42">
            <v>31557600</v>
          </cell>
        </row>
        <row r="43">
          <cell r="F43">
            <v>86400</v>
          </cell>
        </row>
        <row r="44">
          <cell r="F44">
            <v>3600</v>
          </cell>
        </row>
        <row r="45">
          <cell r="F45">
            <v>60</v>
          </cell>
        </row>
        <row r="50">
          <cell r="B50" t="str">
            <v>ha</v>
          </cell>
          <cell r="E50">
            <v>10000</v>
          </cell>
        </row>
        <row r="51">
          <cell r="B51" t="str">
            <v>M ha</v>
          </cell>
          <cell r="E51">
            <v>10000000000</v>
          </cell>
        </row>
        <row r="52">
          <cell r="B52" t="str">
            <v>acres</v>
          </cell>
          <cell r="E52">
            <v>4046.8564224000002</v>
          </cell>
        </row>
        <row r="53">
          <cell r="B53" t="str">
            <v>km^2</v>
          </cell>
          <cell r="E53">
            <v>1000000</v>
          </cell>
        </row>
        <row r="54">
          <cell r="B54" t="str">
            <v>m^2</v>
          </cell>
          <cell r="E54">
            <v>1</v>
          </cell>
        </row>
        <row r="55">
          <cell r="B55" t="str">
            <v>Wales</v>
          </cell>
          <cell r="E55">
            <v>20700000000</v>
          </cell>
        </row>
        <row r="73">
          <cell r="B73" t="str">
            <v>£trn</v>
          </cell>
          <cell r="F73">
            <v>1000000000000</v>
          </cell>
        </row>
        <row r="74">
          <cell r="B74" t="str">
            <v>£bn</v>
          </cell>
          <cell r="F74">
            <v>1000000000</v>
          </cell>
        </row>
        <row r="75">
          <cell r="B75" t="str">
            <v>£m</v>
          </cell>
          <cell r="F75">
            <v>1000000</v>
          </cell>
        </row>
        <row r="76">
          <cell r="B76" t="str">
            <v>£k</v>
          </cell>
          <cell r="F76">
            <v>1000</v>
          </cell>
        </row>
        <row r="77">
          <cell r="B77" t="str">
            <v>Euro2002</v>
          </cell>
          <cell r="F77">
            <v>0.62893081761006286</v>
          </cell>
        </row>
        <row r="78">
          <cell r="B78" t="str">
            <v>$2009</v>
          </cell>
          <cell r="F78">
            <v>0.625</v>
          </cell>
        </row>
        <row r="79">
          <cell r="B79" t="str">
            <v>$2010</v>
          </cell>
          <cell r="F79">
            <v>0.64683053040103489</v>
          </cell>
        </row>
        <row r="80">
          <cell r="B80" t="str">
            <v>£</v>
          </cell>
          <cell r="F80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AJ2">
            <v>2001</v>
          </cell>
        </row>
      </sheetData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3">
          <cell r="AO13">
            <v>9718</v>
          </cell>
        </row>
        <row r="22">
          <cell r="AO22">
            <v>0.18573780613294916</v>
          </cell>
        </row>
        <row r="35">
          <cell r="AO35">
            <v>0.59233540511054661</v>
          </cell>
        </row>
        <row r="36">
          <cell r="AO36">
            <v>9.0422572152734901E-2</v>
          </cell>
        </row>
        <row r="37">
          <cell r="AO37">
            <v>0.22312875593976952</v>
          </cell>
        </row>
        <row r="38">
          <cell r="AO38">
            <v>9.4113266796948924E-2</v>
          </cell>
        </row>
        <row r="115">
          <cell r="AO115">
            <v>0.64986199642396447</v>
          </cell>
        </row>
        <row r="116">
          <cell r="AO116">
            <v>0.27226341264137216</v>
          </cell>
        </row>
        <row r="117">
          <cell r="AO117">
            <v>7.7874590934663299E-2</v>
          </cell>
        </row>
        <row r="118">
          <cell r="AO118">
            <v>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Savings potential"/>
      <sheetName val="Energy Summary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.2_prsnt April2016_ gc"/>
    </sheetNames>
    <sheetDataSet>
      <sheetData sheetId="0" refreshError="1"/>
      <sheetData sheetId="1" refreshError="1"/>
      <sheetData sheetId="2" refreshError="1"/>
      <sheetData sheetId="3">
        <row r="31">
          <cell r="J31">
            <v>2015</v>
          </cell>
          <cell r="K31">
            <v>2016</v>
          </cell>
          <cell r="L31">
            <v>2017</v>
          </cell>
          <cell r="M31">
            <v>2018</v>
          </cell>
          <cell r="N31">
            <v>2019</v>
          </cell>
          <cell r="O31">
            <v>2020</v>
          </cell>
          <cell r="P31">
            <v>2021</v>
          </cell>
          <cell r="Q31">
            <v>2022</v>
          </cell>
          <cell r="R31">
            <v>2023</v>
          </cell>
          <cell r="S31">
            <v>2024</v>
          </cell>
          <cell r="T31">
            <v>2025</v>
          </cell>
          <cell r="U31">
            <v>2026</v>
          </cell>
          <cell r="V31">
            <v>2027</v>
          </cell>
          <cell r="W31">
            <v>2028</v>
          </cell>
          <cell r="X31">
            <v>2029</v>
          </cell>
          <cell r="Y31">
            <v>2030</v>
          </cell>
          <cell r="Z31">
            <v>2035</v>
          </cell>
          <cell r="AA31">
            <v>2040</v>
          </cell>
          <cell r="AB31">
            <v>2045</v>
          </cell>
          <cell r="AC31">
            <v>2050</v>
          </cell>
        </row>
        <row r="33">
          <cell r="A33">
            <v>1</v>
          </cell>
          <cell r="B33">
            <v>1</v>
          </cell>
          <cell r="C33">
            <v>1</v>
          </cell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A34">
            <v>1</v>
          </cell>
          <cell r="B34">
            <v>1</v>
          </cell>
          <cell r="C34">
            <v>2</v>
          </cell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A35">
            <v>1</v>
          </cell>
          <cell r="B35">
            <v>1</v>
          </cell>
          <cell r="C35">
            <v>3</v>
          </cell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A36">
            <v>1</v>
          </cell>
          <cell r="B36">
            <v>1</v>
          </cell>
          <cell r="C36">
            <v>4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A37">
            <v>1</v>
          </cell>
          <cell r="B37">
            <v>1</v>
          </cell>
          <cell r="C37">
            <v>5</v>
          </cell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A38">
            <v>1</v>
          </cell>
          <cell r="B38">
            <v>1</v>
          </cell>
          <cell r="C38">
            <v>6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A39">
            <v>1</v>
          </cell>
          <cell r="B39">
            <v>1</v>
          </cell>
          <cell r="C39">
            <v>7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A40">
            <v>1</v>
          </cell>
          <cell r="B40">
            <v>1</v>
          </cell>
          <cell r="C40">
            <v>8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A41">
            <v>1</v>
          </cell>
          <cell r="B41">
            <v>1</v>
          </cell>
          <cell r="C41">
            <v>9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A42">
            <v>1</v>
          </cell>
          <cell r="B42">
            <v>1</v>
          </cell>
          <cell r="C42">
            <v>10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A43">
            <v>1</v>
          </cell>
          <cell r="B43">
            <v>2</v>
          </cell>
          <cell r="C43">
            <v>1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A44">
            <v>1</v>
          </cell>
          <cell r="B44">
            <v>2</v>
          </cell>
          <cell r="C44">
            <v>2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A45">
            <v>1</v>
          </cell>
          <cell r="B45">
            <v>2</v>
          </cell>
          <cell r="C45">
            <v>3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A46">
            <v>1</v>
          </cell>
          <cell r="B46">
            <v>2</v>
          </cell>
          <cell r="C46">
            <v>4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A47">
            <v>1</v>
          </cell>
          <cell r="B47">
            <v>2</v>
          </cell>
          <cell r="C47">
            <v>5</v>
          </cell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A48">
            <v>1</v>
          </cell>
          <cell r="B48">
            <v>2</v>
          </cell>
          <cell r="C48">
            <v>6</v>
          </cell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A49">
            <v>1</v>
          </cell>
          <cell r="B49">
            <v>2</v>
          </cell>
          <cell r="C49">
            <v>7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A50">
            <v>1</v>
          </cell>
          <cell r="B50">
            <v>2</v>
          </cell>
          <cell r="C50">
            <v>8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A51">
            <v>1</v>
          </cell>
          <cell r="B51">
            <v>2</v>
          </cell>
          <cell r="C51">
            <v>9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A52">
            <v>1</v>
          </cell>
          <cell r="B52">
            <v>2</v>
          </cell>
          <cell r="C52">
            <v>10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A53">
            <v>1</v>
          </cell>
          <cell r="B53">
            <v>3</v>
          </cell>
          <cell r="C53">
            <v>1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A54">
            <v>1</v>
          </cell>
          <cell r="B54">
            <v>3</v>
          </cell>
          <cell r="C54">
            <v>2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A55">
            <v>1</v>
          </cell>
          <cell r="B55">
            <v>3</v>
          </cell>
          <cell r="C55">
            <v>3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A56">
            <v>1</v>
          </cell>
          <cell r="B56">
            <v>3</v>
          </cell>
          <cell r="C56">
            <v>4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A57">
            <v>1</v>
          </cell>
          <cell r="B57">
            <v>3</v>
          </cell>
          <cell r="C57">
            <v>5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A58">
            <v>1</v>
          </cell>
          <cell r="B58">
            <v>3</v>
          </cell>
          <cell r="C58">
            <v>6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A59">
            <v>1</v>
          </cell>
          <cell r="B59">
            <v>3</v>
          </cell>
          <cell r="C59">
            <v>7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A60">
            <v>1</v>
          </cell>
          <cell r="B60">
            <v>3</v>
          </cell>
          <cell r="C60">
            <v>8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A61">
            <v>1</v>
          </cell>
          <cell r="B61">
            <v>3</v>
          </cell>
          <cell r="C61">
            <v>9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A62">
            <v>1</v>
          </cell>
          <cell r="B62">
            <v>3</v>
          </cell>
          <cell r="C62">
            <v>10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A63">
            <v>1</v>
          </cell>
          <cell r="B63">
            <v>4</v>
          </cell>
          <cell r="C63">
            <v>1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A64">
            <v>1</v>
          </cell>
          <cell r="B64">
            <v>4</v>
          </cell>
          <cell r="C64">
            <v>2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A65">
            <v>1</v>
          </cell>
          <cell r="B65">
            <v>4</v>
          </cell>
          <cell r="C65">
            <v>3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A66">
            <v>1</v>
          </cell>
          <cell r="B66">
            <v>4</v>
          </cell>
          <cell r="C66">
            <v>4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A67">
            <v>1</v>
          </cell>
          <cell r="B67">
            <v>4</v>
          </cell>
          <cell r="C67">
            <v>5</v>
          </cell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A68">
            <v>1</v>
          </cell>
          <cell r="B68">
            <v>4</v>
          </cell>
          <cell r="C68">
            <v>6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A69">
            <v>1</v>
          </cell>
          <cell r="B69">
            <v>4</v>
          </cell>
          <cell r="C69">
            <v>7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A70">
            <v>1</v>
          </cell>
          <cell r="B70">
            <v>4</v>
          </cell>
          <cell r="C70">
            <v>8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A71">
            <v>1</v>
          </cell>
          <cell r="B71">
            <v>4</v>
          </cell>
          <cell r="C71">
            <v>9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A72">
            <v>1</v>
          </cell>
          <cell r="B72">
            <v>4</v>
          </cell>
          <cell r="C72">
            <v>10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A73">
            <v>1</v>
          </cell>
          <cell r="B73">
            <v>5</v>
          </cell>
          <cell r="C73">
            <v>1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A74">
            <v>1</v>
          </cell>
          <cell r="B74">
            <v>5</v>
          </cell>
          <cell r="C74">
            <v>2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A75">
            <v>1</v>
          </cell>
          <cell r="B75">
            <v>5</v>
          </cell>
          <cell r="C75">
            <v>3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A76">
            <v>1</v>
          </cell>
          <cell r="B76">
            <v>5</v>
          </cell>
          <cell r="C76">
            <v>4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A77">
            <v>1</v>
          </cell>
          <cell r="B77">
            <v>5</v>
          </cell>
          <cell r="C77">
            <v>5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A78">
            <v>1</v>
          </cell>
          <cell r="B78">
            <v>5</v>
          </cell>
          <cell r="C78">
            <v>6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A79">
            <v>1</v>
          </cell>
          <cell r="B79">
            <v>5</v>
          </cell>
          <cell r="C79">
            <v>7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A80">
            <v>1</v>
          </cell>
          <cell r="B80">
            <v>5</v>
          </cell>
          <cell r="C80">
            <v>8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A81">
            <v>1</v>
          </cell>
          <cell r="B81">
            <v>5</v>
          </cell>
          <cell r="C81">
            <v>9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A82">
            <v>1</v>
          </cell>
          <cell r="B82">
            <v>5</v>
          </cell>
          <cell r="C82">
            <v>10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A83">
            <v>1</v>
          </cell>
          <cell r="B83">
            <v>6</v>
          </cell>
          <cell r="C83">
            <v>1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A84">
            <v>1</v>
          </cell>
          <cell r="B84">
            <v>6</v>
          </cell>
          <cell r="C84">
            <v>2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A85">
            <v>1</v>
          </cell>
          <cell r="B85">
            <v>6</v>
          </cell>
          <cell r="C85">
            <v>3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A86">
            <v>1</v>
          </cell>
          <cell r="B86">
            <v>6</v>
          </cell>
          <cell r="C86">
            <v>4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A87">
            <v>1</v>
          </cell>
          <cell r="B87">
            <v>6</v>
          </cell>
          <cell r="C87">
            <v>5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A88">
            <v>1</v>
          </cell>
          <cell r="B88">
            <v>6</v>
          </cell>
          <cell r="C88">
            <v>6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A89">
            <v>1</v>
          </cell>
          <cell r="B89">
            <v>6</v>
          </cell>
          <cell r="C89">
            <v>7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A90">
            <v>1</v>
          </cell>
          <cell r="B90">
            <v>6</v>
          </cell>
          <cell r="C90">
            <v>8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A91">
            <v>1</v>
          </cell>
          <cell r="B91">
            <v>6</v>
          </cell>
          <cell r="C91">
            <v>9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A92">
            <v>1</v>
          </cell>
          <cell r="B92">
            <v>6</v>
          </cell>
          <cell r="C92">
            <v>10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A93">
            <v>1</v>
          </cell>
          <cell r="B93">
            <v>7</v>
          </cell>
          <cell r="C93">
            <v>1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A94">
            <v>1</v>
          </cell>
          <cell r="B94">
            <v>7</v>
          </cell>
          <cell r="C94">
            <v>2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A95">
            <v>1</v>
          </cell>
          <cell r="B95">
            <v>7</v>
          </cell>
          <cell r="C95">
            <v>3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A96">
            <v>1</v>
          </cell>
          <cell r="B96">
            <v>7</v>
          </cell>
          <cell r="C96">
            <v>4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A97">
            <v>1</v>
          </cell>
          <cell r="B97">
            <v>7</v>
          </cell>
          <cell r="C97">
            <v>5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A98">
            <v>1</v>
          </cell>
          <cell r="B98">
            <v>7</v>
          </cell>
          <cell r="C98">
            <v>6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A99">
            <v>1</v>
          </cell>
          <cell r="B99">
            <v>7</v>
          </cell>
          <cell r="C99">
            <v>7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A100">
            <v>1</v>
          </cell>
          <cell r="B100">
            <v>7</v>
          </cell>
          <cell r="C100">
            <v>8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A101">
            <v>1</v>
          </cell>
          <cell r="B101">
            <v>7</v>
          </cell>
          <cell r="C101">
            <v>9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A102">
            <v>1</v>
          </cell>
          <cell r="B102">
            <v>7</v>
          </cell>
          <cell r="C102">
            <v>10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A103">
            <v>1</v>
          </cell>
          <cell r="B103">
            <v>8</v>
          </cell>
          <cell r="C103">
            <v>1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A104">
            <v>1</v>
          </cell>
          <cell r="B104">
            <v>8</v>
          </cell>
          <cell r="C104">
            <v>2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A105">
            <v>1</v>
          </cell>
          <cell r="B105">
            <v>8</v>
          </cell>
          <cell r="C105">
            <v>3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A106">
            <v>1</v>
          </cell>
          <cell r="B106">
            <v>8</v>
          </cell>
          <cell r="C106">
            <v>4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A107">
            <v>1</v>
          </cell>
          <cell r="B107">
            <v>8</v>
          </cell>
          <cell r="C107">
            <v>5</v>
          </cell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A108">
            <v>1</v>
          </cell>
          <cell r="B108">
            <v>8</v>
          </cell>
          <cell r="C108">
            <v>6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A109">
            <v>1</v>
          </cell>
          <cell r="B109">
            <v>8</v>
          </cell>
          <cell r="C109">
            <v>7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A110">
            <v>1</v>
          </cell>
          <cell r="B110">
            <v>8</v>
          </cell>
          <cell r="C110">
            <v>8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A111">
            <v>1</v>
          </cell>
          <cell r="B111">
            <v>8</v>
          </cell>
          <cell r="C111">
            <v>9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A112">
            <v>1</v>
          </cell>
          <cell r="B112">
            <v>8</v>
          </cell>
          <cell r="C112">
            <v>10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A113">
            <v>1</v>
          </cell>
          <cell r="B113">
            <v>9</v>
          </cell>
          <cell r="C113">
            <v>1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A114">
            <v>1</v>
          </cell>
          <cell r="B114">
            <v>9</v>
          </cell>
          <cell r="C114">
            <v>2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A115">
            <v>1</v>
          </cell>
          <cell r="B115">
            <v>9</v>
          </cell>
          <cell r="C115">
            <v>3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A116">
            <v>1</v>
          </cell>
          <cell r="B116">
            <v>9</v>
          </cell>
          <cell r="C116">
            <v>4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A117">
            <v>1</v>
          </cell>
          <cell r="B117">
            <v>9</v>
          </cell>
          <cell r="C117">
            <v>5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A118">
            <v>1</v>
          </cell>
          <cell r="B118">
            <v>9</v>
          </cell>
          <cell r="C118">
            <v>6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A119">
            <v>1</v>
          </cell>
          <cell r="B119">
            <v>9</v>
          </cell>
          <cell r="C119">
            <v>7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A120">
            <v>1</v>
          </cell>
          <cell r="B120">
            <v>9</v>
          </cell>
          <cell r="C120">
            <v>8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A121">
            <v>1</v>
          </cell>
          <cell r="B121">
            <v>9</v>
          </cell>
          <cell r="C121">
            <v>9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A122">
            <v>1</v>
          </cell>
          <cell r="B122">
            <v>9</v>
          </cell>
          <cell r="C122">
            <v>10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A123">
            <v>1</v>
          </cell>
          <cell r="B123">
            <v>10</v>
          </cell>
          <cell r="C123">
            <v>1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A124">
            <v>1</v>
          </cell>
          <cell r="B124">
            <v>10</v>
          </cell>
          <cell r="C124">
            <v>2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A125">
            <v>1</v>
          </cell>
          <cell r="B125">
            <v>10</v>
          </cell>
          <cell r="C125">
            <v>3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A126">
            <v>1</v>
          </cell>
          <cell r="B126">
            <v>10</v>
          </cell>
          <cell r="C126">
            <v>4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A127">
            <v>1</v>
          </cell>
          <cell r="B127">
            <v>10</v>
          </cell>
          <cell r="C127">
            <v>5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A128">
            <v>1</v>
          </cell>
          <cell r="B128">
            <v>10</v>
          </cell>
          <cell r="C128">
            <v>6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A129">
            <v>1</v>
          </cell>
          <cell r="B129">
            <v>10</v>
          </cell>
          <cell r="C129">
            <v>7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A130">
            <v>1</v>
          </cell>
          <cell r="B130">
            <v>10</v>
          </cell>
          <cell r="C130">
            <v>8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A131">
            <v>1</v>
          </cell>
          <cell r="B131">
            <v>10</v>
          </cell>
          <cell r="C131">
            <v>9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A132">
            <v>1</v>
          </cell>
          <cell r="B132">
            <v>10</v>
          </cell>
          <cell r="C132">
            <v>10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A133">
            <v>1</v>
          </cell>
          <cell r="B133">
            <v>11</v>
          </cell>
          <cell r="C133">
            <v>1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A134">
            <v>1</v>
          </cell>
          <cell r="B134">
            <v>11</v>
          </cell>
          <cell r="C134">
            <v>2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A135">
            <v>1</v>
          </cell>
          <cell r="B135">
            <v>11</v>
          </cell>
          <cell r="C135">
            <v>3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A136">
            <v>1</v>
          </cell>
          <cell r="B136">
            <v>11</v>
          </cell>
          <cell r="C136">
            <v>4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A137">
            <v>1</v>
          </cell>
          <cell r="B137">
            <v>11</v>
          </cell>
          <cell r="C137">
            <v>5</v>
          </cell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A138">
            <v>1</v>
          </cell>
          <cell r="B138">
            <v>11</v>
          </cell>
          <cell r="C138">
            <v>6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A139">
            <v>1</v>
          </cell>
          <cell r="B139">
            <v>11</v>
          </cell>
          <cell r="C139">
            <v>7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A140">
            <v>1</v>
          </cell>
          <cell r="B140">
            <v>11</v>
          </cell>
          <cell r="C140">
            <v>8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A141">
            <v>1</v>
          </cell>
          <cell r="B141">
            <v>11</v>
          </cell>
          <cell r="C141">
            <v>9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A142">
            <v>1</v>
          </cell>
          <cell r="B142">
            <v>11</v>
          </cell>
          <cell r="C142">
            <v>10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A143">
            <v>1</v>
          </cell>
          <cell r="B143">
            <v>12</v>
          </cell>
          <cell r="C143">
            <v>1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A144">
            <v>1</v>
          </cell>
          <cell r="B144">
            <v>12</v>
          </cell>
          <cell r="C144">
            <v>2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A145">
            <v>1</v>
          </cell>
          <cell r="B145">
            <v>12</v>
          </cell>
          <cell r="C145">
            <v>3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A146">
            <v>1</v>
          </cell>
          <cell r="B146">
            <v>12</v>
          </cell>
          <cell r="C146">
            <v>4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A147">
            <v>1</v>
          </cell>
          <cell r="B147">
            <v>12</v>
          </cell>
          <cell r="C147">
            <v>5</v>
          </cell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A148">
            <v>1</v>
          </cell>
          <cell r="B148">
            <v>12</v>
          </cell>
          <cell r="C148">
            <v>6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A149">
            <v>1</v>
          </cell>
          <cell r="B149">
            <v>12</v>
          </cell>
          <cell r="C149">
            <v>7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A150">
            <v>1</v>
          </cell>
          <cell r="B150">
            <v>12</v>
          </cell>
          <cell r="C150">
            <v>8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A151">
            <v>1</v>
          </cell>
          <cell r="B151">
            <v>12</v>
          </cell>
          <cell r="C151">
            <v>9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A152">
            <v>1</v>
          </cell>
          <cell r="B152">
            <v>12</v>
          </cell>
          <cell r="C152">
            <v>10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A153">
            <v>1</v>
          </cell>
          <cell r="B153">
            <v>13</v>
          </cell>
          <cell r="C153">
            <v>1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A154">
            <v>1</v>
          </cell>
          <cell r="B154">
            <v>13</v>
          </cell>
          <cell r="C154">
            <v>2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A155">
            <v>1</v>
          </cell>
          <cell r="B155">
            <v>13</v>
          </cell>
          <cell r="C155">
            <v>3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A156">
            <v>1</v>
          </cell>
          <cell r="B156">
            <v>13</v>
          </cell>
          <cell r="C156">
            <v>4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A157">
            <v>1</v>
          </cell>
          <cell r="B157">
            <v>13</v>
          </cell>
          <cell r="C157">
            <v>5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A158">
            <v>1</v>
          </cell>
          <cell r="B158">
            <v>13</v>
          </cell>
          <cell r="C158">
            <v>6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A159">
            <v>1</v>
          </cell>
          <cell r="B159">
            <v>13</v>
          </cell>
          <cell r="C159">
            <v>7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A160">
            <v>1</v>
          </cell>
          <cell r="B160">
            <v>13</v>
          </cell>
          <cell r="C160">
            <v>8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A161">
            <v>1</v>
          </cell>
          <cell r="B161">
            <v>13</v>
          </cell>
          <cell r="C161">
            <v>9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A162">
            <v>1</v>
          </cell>
          <cell r="B162">
            <v>13</v>
          </cell>
          <cell r="C162">
            <v>10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A163">
            <v>1</v>
          </cell>
          <cell r="B163">
            <v>14</v>
          </cell>
          <cell r="C163">
            <v>1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A164">
            <v>1</v>
          </cell>
          <cell r="B164">
            <v>14</v>
          </cell>
          <cell r="C164">
            <v>2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A165">
            <v>1</v>
          </cell>
          <cell r="B165">
            <v>14</v>
          </cell>
          <cell r="C165">
            <v>3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A166">
            <v>1</v>
          </cell>
          <cell r="B166">
            <v>14</v>
          </cell>
          <cell r="C166">
            <v>4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A167">
            <v>1</v>
          </cell>
          <cell r="B167">
            <v>14</v>
          </cell>
          <cell r="C167">
            <v>5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A168">
            <v>1</v>
          </cell>
          <cell r="B168">
            <v>14</v>
          </cell>
          <cell r="C168">
            <v>6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A169">
            <v>1</v>
          </cell>
          <cell r="B169">
            <v>14</v>
          </cell>
          <cell r="C169">
            <v>7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A170">
            <v>1</v>
          </cell>
          <cell r="B170">
            <v>14</v>
          </cell>
          <cell r="C170">
            <v>8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A171">
            <v>1</v>
          </cell>
          <cell r="B171">
            <v>14</v>
          </cell>
          <cell r="C171">
            <v>9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A172">
            <v>1</v>
          </cell>
          <cell r="B172">
            <v>14</v>
          </cell>
          <cell r="C172">
            <v>10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A173">
            <v>1</v>
          </cell>
          <cell r="B173">
            <v>15</v>
          </cell>
          <cell r="C173">
            <v>1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A174">
            <v>1</v>
          </cell>
          <cell r="B174">
            <v>15</v>
          </cell>
          <cell r="C174">
            <v>2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A175">
            <v>1</v>
          </cell>
          <cell r="B175">
            <v>15</v>
          </cell>
          <cell r="C175">
            <v>3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A176">
            <v>1</v>
          </cell>
          <cell r="B176">
            <v>15</v>
          </cell>
          <cell r="C176">
            <v>4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A177">
            <v>1</v>
          </cell>
          <cell r="B177">
            <v>15</v>
          </cell>
          <cell r="C177">
            <v>5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A178">
            <v>1</v>
          </cell>
          <cell r="B178">
            <v>15</v>
          </cell>
          <cell r="C178">
            <v>6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A179">
            <v>1</v>
          </cell>
          <cell r="B179">
            <v>15</v>
          </cell>
          <cell r="C179">
            <v>7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A180">
            <v>1</v>
          </cell>
          <cell r="B180">
            <v>15</v>
          </cell>
          <cell r="C180">
            <v>8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A181">
            <v>1</v>
          </cell>
          <cell r="B181">
            <v>15</v>
          </cell>
          <cell r="C181">
            <v>9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A182">
            <v>1</v>
          </cell>
          <cell r="B182">
            <v>15</v>
          </cell>
          <cell r="C182">
            <v>10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A183">
            <v>2</v>
          </cell>
          <cell r="B183">
            <v>1</v>
          </cell>
          <cell r="C183">
            <v>1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A184">
            <v>2</v>
          </cell>
          <cell r="B184">
            <v>1</v>
          </cell>
          <cell r="C184">
            <v>2</v>
          </cell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A185">
            <v>2</v>
          </cell>
          <cell r="B185">
            <v>1</v>
          </cell>
          <cell r="C185">
            <v>3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A186">
            <v>2</v>
          </cell>
          <cell r="B186">
            <v>1</v>
          </cell>
          <cell r="C186">
            <v>4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A187">
            <v>2</v>
          </cell>
          <cell r="B187">
            <v>1</v>
          </cell>
          <cell r="C187">
            <v>5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A188">
            <v>2</v>
          </cell>
          <cell r="B188">
            <v>1</v>
          </cell>
          <cell r="C188">
            <v>6</v>
          </cell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A189">
            <v>2</v>
          </cell>
          <cell r="B189">
            <v>1</v>
          </cell>
          <cell r="C189">
            <v>7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A190">
            <v>2</v>
          </cell>
          <cell r="B190">
            <v>1</v>
          </cell>
          <cell r="C190">
            <v>8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A191">
            <v>2</v>
          </cell>
          <cell r="B191">
            <v>1</v>
          </cell>
          <cell r="C191">
            <v>9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A192">
            <v>2</v>
          </cell>
          <cell r="B192">
            <v>1</v>
          </cell>
          <cell r="C192">
            <v>10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A193">
            <v>2</v>
          </cell>
          <cell r="B193">
            <v>2</v>
          </cell>
          <cell r="C193">
            <v>1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A194">
            <v>2</v>
          </cell>
          <cell r="B194">
            <v>2</v>
          </cell>
          <cell r="C194">
            <v>2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A195">
            <v>2</v>
          </cell>
          <cell r="B195">
            <v>2</v>
          </cell>
          <cell r="C195">
            <v>3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A196">
            <v>2</v>
          </cell>
          <cell r="B196">
            <v>2</v>
          </cell>
          <cell r="C196">
            <v>4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A197">
            <v>2</v>
          </cell>
          <cell r="B197">
            <v>2</v>
          </cell>
          <cell r="C197">
            <v>5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A198">
            <v>2</v>
          </cell>
          <cell r="B198">
            <v>2</v>
          </cell>
          <cell r="C198">
            <v>6</v>
          </cell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A199">
            <v>2</v>
          </cell>
          <cell r="B199">
            <v>2</v>
          </cell>
          <cell r="C199">
            <v>7</v>
          </cell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A200">
            <v>2</v>
          </cell>
          <cell r="B200">
            <v>2</v>
          </cell>
          <cell r="C200">
            <v>8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A201">
            <v>2</v>
          </cell>
          <cell r="B201">
            <v>2</v>
          </cell>
          <cell r="C201">
            <v>9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A202">
            <v>2</v>
          </cell>
          <cell r="B202">
            <v>2</v>
          </cell>
          <cell r="C202">
            <v>10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A203">
            <v>2</v>
          </cell>
          <cell r="B203">
            <v>3</v>
          </cell>
          <cell r="C203">
            <v>1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A204">
            <v>2</v>
          </cell>
          <cell r="B204">
            <v>3</v>
          </cell>
          <cell r="C204">
            <v>2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A205">
            <v>2</v>
          </cell>
          <cell r="B205">
            <v>3</v>
          </cell>
          <cell r="C205">
            <v>3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A206">
            <v>2</v>
          </cell>
          <cell r="B206">
            <v>3</v>
          </cell>
          <cell r="C206">
            <v>4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A207">
            <v>2</v>
          </cell>
          <cell r="B207">
            <v>3</v>
          </cell>
          <cell r="C207">
            <v>5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A208">
            <v>2</v>
          </cell>
          <cell r="B208">
            <v>3</v>
          </cell>
          <cell r="C208">
            <v>6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A209">
            <v>2</v>
          </cell>
          <cell r="B209">
            <v>3</v>
          </cell>
          <cell r="C209">
            <v>7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A210">
            <v>2</v>
          </cell>
          <cell r="B210">
            <v>3</v>
          </cell>
          <cell r="C210">
            <v>8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A211">
            <v>2</v>
          </cell>
          <cell r="B211">
            <v>3</v>
          </cell>
          <cell r="C211">
            <v>9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A212">
            <v>2</v>
          </cell>
          <cell r="B212">
            <v>3</v>
          </cell>
          <cell r="C212">
            <v>10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A213">
            <v>2</v>
          </cell>
          <cell r="B213">
            <v>4</v>
          </cell>
          <cell r="C213">
            <v>1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A214">
            <v>2</v>
          </cell>
          <cell r="B214">
            <v>4</v>
          </cell>
          <cell r="C214">
            <v>2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A215">
            <v>2</v>
          </cell>
          <cell r="B215">
            <v>4</v>
          </cell>
          <cell r="C215">
            <v>3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A216">
            <v>2</v>
          </cell>
          <cell r="B216">
            <v>4</v>
          </cell>
          <cell r="C216">
            <v>4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A217">
            <v>2</v>
          </cell>
          <cell r="B217">
            <v>4</v>
          </cell>
          <cell r="C217">
            <v>5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A218">
            <v>2</v>
          </cell>
          <cell r="B218">
            <v>4</v>
          </cell>
          <cell r="C218">
            <v>6</v>
          </cell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A219">
            <v>2</v>
          </cell>
          <cell r="B219">
            <v>4</v>
          </cell>
          <cell r="C219">
            <v>7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A220">
            <v>2</v>
          </cell>
          <cell r="B220">
            <v>4</v>
          </cell>
          <cell r="C220">
            <v>8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A221">
            <v>2</v>
          </cell>
          <cell r="B221">
            <v>4</v>
          </cell>
          <cell r="C221">
            <v>9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A222">
            <v>2</v>
          </cell>
          <cell r="B222">
            <v>4</v>
          </cell>
          <cell r="C222">
            <v>10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A223">
            <v>2</v>
          </cell>
          <cell r="B223">
            <v>5</v>
          </cell>
          <cell r="C223">
            <v>1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A224">
            <v>2</v>
          </cell>
          <cell r="B224">
            <v>5</v>
          </cell>
          <cell r="C224">
            <v>2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A225">
            <v>2</v>
          </cell>
          <cell r="B225">
            <v>5</v>
          </cell>
          <cell r="C225">
            <v>3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A226">
            <v>2</v>
          </cell>
          <cell r="B226">
            <v>5</v>
          </cell>
          <cell r="C226">
            <v>4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A227">
            <v>2</v>
          </cell>
          <cell r="B227">
            <v>5</v>
          </cell>
          <cell r="C227">
            <v>5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A228">
            <v>2</v>
          </cell>
          <cell r="B228">
            <v>5</v>
          </cell>
          <cell r="C228">
            <v>6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A229">
            <v>2</v>
          </cell>
          <cell r="B229">
            <v>5</v>
          </cell>
          <cell r="C229">
            <v>7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A230">
            <v>2</v>
          </cell>
          <cell r="B230">
            <v>5</v>
          </cell>
          <cell r="C230">
            <v>8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A231">
            <v>2</v>
          </cell>
          <cell r="B231">
            <v>5</v>
          </cell>
          <cell r="C231">
            <v>9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A232">
            <v>2</v>
          </cell>
          <cell r="B232">
            <v>5</v>
          </cell>
          <cell r="C232">
            <v>10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A233">
            <v>2</v>
          </cell>
          <cell r="B233">
            <v>6</v>
          </cell>
          <cell r="C233">
            <v>1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A234">
            <v>2</v>
          </cell>
          <cell r="B234">
            <v>6</v>
          </cell>
          <cell r="C234">
            <v>2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A235">
            <v>2</v>
          </cell>
          <cell r="B235">
            <v>6</v>
          </cell>
          <cell r="C235">
            <v>3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A236">
            <v>2</v>
          </cell>
          <cell r="B236">
            <v>6</v>
          </cell>
          <cell r="C236">
            <v>4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A237">
            <v>2</v>
          </cell>
          <cell r="B237">
            <v>6</v>
          </cell>
          <cell r="C237">
            <v>5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A238">
            <v>2</v>
          </cell>
          <cell r="B238">
            <v>6</v>
          </cell>
          <cell r="C238">
            <v>6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A239">
            <v>2</v>
          </cell>
          <cell r="B239">
            <v>6</v>
          </cell>
          <cell r="C239">
            <v>7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A240">
            <v>2</v>
          </cell>
          <cell r="B240">
            <v>6</v>
          </cell>
          <cell r="C240">
            <v>8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A241">
            <v>2</v>
          </cell>
          <cell r="B241">
            <v>6</v>
          </cell>
          <cell r="C241">
            <v>9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A242">
            <v>2</v>
          </cell>
          <cell r="B242">
            <v>6</v>
          </cell>
          <cell r="C242">
            <v>10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A243">
            <v>2</v>
          </cell>
          <cell r="B243">
            <v>7</v>
          </cell>
          <cell r="C243">
            <v>1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A244">
            <v>2</v>
          </cell>
          <cell r="B244">
            <v>7</v>
          </cell>
          <cell r="C244">
            <v>2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A245">
            <v>2</v>
          </cell>
          <cell r="B245">
            <v>7</v>
          </cell>
          <cell r="C245">
            <v>3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A246">
            <v>2</v>
          </cell>
          <cell r="B246">
            <v>7</v>
          </cell>
          <cell r="C246">
            <v>4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A247">
            <v>2</v>
          </cell>
          <cell r="B247">
            <v>7</v>
          </cell>
          <cell r="C247">
            <v>5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A248">
            <v>2</v>
          </cell>
          <cell r="B248">
            <v>7</v>
          </cell>
          <cell r="C248">
            <v>6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A249">
            <v>2</v>
          </cell>
          <cell r="B249">
            <v>7</v>
          </cell>
          <cell r="C249">
            <v>7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A250">
            <v>2</v>
          </cell>
          <cell r="B250">
            <v>7</v>
          </cell>
          <cell r="C250">
            <v>8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A251">
            <v>2</v>
          </cell>
          <cell r="B251">
            <v>7</v>
          </cell>
          <cell r="C251">
            <v>9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A252">
            <v>2</v>
          </cell>
          <cell r="B252">
            <v>7</v>
          </cell>
          <cell r="C252">
            <v>10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A253">
            <v>2</v>
          </cell>
          <cell r="B253">
            <v>8</v>
          </cell>
          <cell r="C253">
            <v>1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A254">
            <v>2</v>
          </cell>
          <cell r="B254">
            <v>8</v>
          </cell>
          <cell r="C254">
            <v>2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A255">
            <v>2</v>
          </cell>
          <cell r="B255">
            <v>8</v>
          </cell>
          <cell r="C255">
            <v>3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A256">
            <v>2</v>
          </cell>
          <cell r="B256">
            <v>8</v>
          </cell>
          <cell r="C256">
            <v>4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A257">
            <v>2</v>
          </cell>
          <cell r="B257">
            <v>8</v>
          </cell>
          <cell r="C257">
            <v>5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A258">
            <v>2</v>
          </cell>
          <cell r="B258">
            <v>8</v>
          </cell>
          <cell r="C258">
            <v>6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A259">
            <v>2</v>
          </cell>
          <cell r="B259">
            <v>8</v>
          </cell>
          <cell r="C259">
            <v>7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A260">
            <v>2</v>
          </cell>
          <cell r="B260">
            <v>8</v>
          </cell>
          <cell r="C260">
            <v>8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A261">
            <v>2</v>
          </cell>
          <cell r="B261">
            <v>8</v>
          </cell>
          <cell r="C261">
            <v>9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A262">
            <v>2</v>
          </cell>
          <cell r="B262">
            <v>8</v>
          </cell>
          <cell r="C262">
            <v>10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A263">
            <v>2</v>
          </cell>
          <cell r="B263">
            <v>9</v>
          </cell>
          <cell r="C263">
            <v>1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A264">
            <v>2</v>
          </cell>
          <cell r="B264">
            <v>9</v>
          </cell>
          <cell r="C264">
            <v>2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A265">
            <v>2</v>
          </cell>
          <cell r="B265">
            <v>9</v>
          </cell>
          <cell r="C265">
            <v>3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A266">
            <v>2</v>
          </cell>
          <cell r="B266">
            <v>9</v>
          </cell>
          <cell r="C266">
            <v>4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A267">
            <v>2</v>
          </cell>
          <cell r="B267">
            <v>9</v>
          </cell>
          <cell r="C267">
            <v>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A268">
            <v>2</v>
          </cell>
          <cell r="B268">
            <v>9</v>
          </cell>
          <cell r="C268">
            <v>6</v>
          </cell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A269">
            <v>2</v>
          </cell>
          <cell r="B269">
            <v>9</v>
          </cell>
          <cell r="C269">
            <v>7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A270">
            <v>2</v>
          </cell>
          <cell r="B270">
            <v>9</v>
          </cell>
          <cell r="C270">
            <v>8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A271">
            <v>2</v>
          </cell>
          <cell r="B271">
            <v>9</v>
          </cell>
          <cell r="C271">
            <v>9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A272">
            <v>2</v>
          </cell>
          <cell r="B272">
            <v>9</v>
          </cell>
          <cell r="C272">
            <v>10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A273">
            <v>2</v>
          </cell>
          <cell r="B273">
            <v>10</v>
          </cell>
          <cell r="C273">
            <v>1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A274">
            <v>2</v>
          </cell>
          <cell r="B274">
            <v>10</v>
          </cell>
          <cell r="C274">
            <v>2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A275">
            <v>2</v>
          </cell>
          <cell r="B275">
            <v>10</v>
          </cell>
          <cell r="C275">
            <v>3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A276">
            <v>2</v>
          </cell>
          <cell r="B276">
            <v>10</v>
          </cell>
          <cell r="C276">
            <v>4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A277">
            <v>2</v>
          </cell>
          <cell r="B277">
            <v>10</v>
          </cell>
          <cell r="C277">
            <v>5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A278">
            <v>2</v>
          </cell>
          <cell r="B278">
            <v>10</v>
          </cell>
          <cell r="C278">
            <v>6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A279">
            <v>2</v>
          </cell>
          <cell r="B279">
            <v>10</v>
          </cell>
          <cell r="C279">
            <v>7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A280">
            <v>2</v>
          </cell>
          <cell r="B280">
            <v>10</v>
          </cell>
          <cell r="C280">
            <v>8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A281">
            <v>2</v>
          </cell>
          <cell r="B281">
            <v>10</v>
          </cell>
          <cell r="C281">
            <v>9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A282">
            <v>2</v>
          </cell>
          <cell r="B282">
            <v>10</v>
          </cell>
          <cell r="C282">
            <v>10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A283">
            <v>2</v>
          </cell>
          <cell r="B283">
            <v>11</v>
          </cell>
          <cell r="C283">
            <v>1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A284">
            <v>2</v>
          </cell>
          <cell r="B284">
            <v>11</v>
          </cell>
          <cell r="C284">
            <v>2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A285">
            <v>2</v>
          </cell>
          <cell r="B285">
            <v>11</v>
          </cell>
          <cell r="C285">
            <v>3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A286">
            <v>2</v>
          </cell>
          <cell r="B286">
            <v>11</v>
          </cell>
          <cell r="C286">
            <v>4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A287">
            <v>2</v>
          </cell>
          <cell r="B287">
            <v>11</v>
          </cell>
          <cell r="C287">
            <v>5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A288">
            <v>2</v>
          </cell>
          <cell r="B288">
            <v>11</v>
          </cell>
          <cell r="C288">
            <v>6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A289">
            <v>2</v>
          </cell>
          <cell r="B289">
            <v>11</v>
          </cell>
          <cell r="C289">
            <v>7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A290">
            <v>2</v>
          </cell>
          <cell r="B290">
            <v>11</v>
          </cell>
          <cell r="C290">
            <v>8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A291">
            <v>2</v>
          </cell>
          <cell r="B291">
            <v>11</v>
          </cell>
          <cell r="C291">
            <v>9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A292">
            <v>2</v>
          </cell>
          <cell r="B292">
            <v>11</v>
          </cell>
          <cell r="C292">
            <v>10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A293">
            <v>2</v>
          </cell>
          <cell r="B293">
            <v>12</v>
          </cell>
          <cell r="C293">
            <v>1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A294">
            <v>2</v>
          </cell>
          <cell r="B294">
            <v>12</v>
          </cell>
          <cell r="C294">
            <v>2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A295">
            <v>2</v>
          </cell>
          <cell r="B295">
            <v>12</v>
          </cell>
          <cell r="C295">
            <v>3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A296">
            <v>2</v>
          </cell>
          <cell r="B296">
            <v>12</v>
          </cell>
          <cell r="C296">
            <v>4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A297">
            <v>2</v>
          </cell>
          <cell r="B297">
            <v>12</v>
          </cell>
          <cell r="C297">
            <v>5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A298">
            <v>2</v>
          </cell>
          <cell r="B298">
            <v>12</v>
          </cell>
          <cell r="C298">
            <v>6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A299">
            <v>2</v>
          </cell>
          <cell r="B299">
            <v>12</v>
          </cell>
          <cell r="C299">
            <v>7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A300">
            <v>2</v>
          </cell>
          <cell r="B300">
            <v>12</v>
          </cell>
          <cell r="C300">
            <v>8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A301">
            <v>2</v>
          </cell>
          <cell r="B301">
            <v>12</v>
          </cell>
          <cell r="C301">
            <v>9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A302">
            <v>2</v>
          </cell>
          <cell r="B302">
            <v>12</v>
          </cell>
          <cell r="C302">
            <v>10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A303">
            <v>2</v>
          </cell>
          <cell r="B303">
            <v>13</v>
          </cell>
          <cell r="C303">
            <v>1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A304">
            <v>2</v>
          </cell>
          <cell r="B304">
            <v>13</v>
          </cell>
          <cell r="C304">
            <v>2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A305">
            <v>2</v>
          </cell>
          <cell r="B305">
            <v>13</v>
          </cell>
          <cell r="C305">
            <v>3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A306">
            <v>2</v>
          </cell>
          <cell r="B306">
            <v>13</v>
          </cell>
          <cell r="C306">
            <v>4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A307">
            <v>2</v>
          </cell>
          <cell r="B307">
            <v>13</v>
          </cell>
          <cell r="C307">
            <v>5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A308">
            <v>2</v>
          </cell>
          <cell r="B308">
            <v>13</v>
          </cell>
          <cell r="C308">
            <v>6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A309">
            <v>2</v>
          </cell>
          <cell r="B309">
            <v>13</v>
          </cell>
          <cell r="C309">
            <v>7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A310">
            <v>2</v>
          </cell>
          <cell r="B310">
            <v>13</v>
          </cell>
          <cell r="C310">
            <v>8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A311">
            <v>2</v>
          </cell>
          <cell r="B311">
            <v>13</v>
          </cell>
          <cell r="C311">
            <v>9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A312">
            <v>2</v>
          </cell>
          <cell r="B312">
            <v>13</v>
          </cell>
          <cell r="C312">
            <v>10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A313">
            <v>2</v>
          </cell>
          <cell r="B313">
            <v>14</v>
          </cell>
          <cell r="C313">
            <v>1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A314">
            <v>2</v>
          </cell>
          <cell r="B314">
            <v>14</v>
          </cell>
          <cell r="C314">
            <v>2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A315">
            <v>2</v>
          </cell>
          <cell r="B315">
            <v>14</v>
          </cell>
          <cell r="C315">
            <v>3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A316">
            <v>2</v>
          </cell>
          <cell r="B316">
            <v>14</v>
          </cell>
          <cell r="C316">
            <v>4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A317">
            <v>2</v>
          </cell>
          <cell r="B317">
            <v>14</v>
          </cell>
          <cell r="C317">
            <v>5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A318">
            <v>2</v>
          </cell>
          <cell r="B318">
            <v>14</v>
          </cell>
          <cell r="C318">
            <v>6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A319">
            <v>2</v>
          </cell>
          <cell r="B319">
            <v>14</v>
          </cell>
          <cell r="C319">
            <v>7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A320">
            <v>2</v>
          </cell>
          <cell r="B320">
            <v>14</v>
          </cell>
          <cell r="C320">
            <v>8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A321">
            <v>2</v>
          </cell>
          <cell r="B321">
            <v>14</v>
          </cell>
          <cell r="C321">
            <v>9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A322">
            <v>2</v>
          </cell>
          <cell r="B322">
            <v>14</v>
          </cell>
          <cell r="C322">
            <v>10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A323">
            <v>2</v>
          </cell>
          <cell r="B323">
            <v>15</v>
          </cell>
          <cell r="C323">
            <v>1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A324">
            <v>2</v>
          </cell>
          <cell r="B324">
            <v>15</v>
          </cell>
          <cell r="C324">
            <v>2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A325">
            <v>2</v>
          </cell>
          <cell r="B325">
            <v>15</v>
          </cell>
          <cell r="C325">
            <v>3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A326">
            <v>2</v>
          </cell>
          <cell r="B326">
            <v>15</v>
          </cell>
          <cell r="C326">
            <v>4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A327">
            <v>2</v>
          </cell>
          <cell r="B327">
            <v>15</v>
          </cell>
          <cell r="C327">
            <v>5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A328">
            <v>2</v>
          </cell>
          <cell r="B328">
            <v>15</v>
          </cell>
          <cell r="C328">
            <v>6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A329">
            <v>2</v>
          </cell>
          <cell r="B329">
            <v>15</v>
          </cell>
          <cell r="C329">
            <v>7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A330">
            <v>2</v>
          </cell>
          <cell r="B330">
            <v>15</v>
          </cell>
          <cell r="C330">
            <v>8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A331">
            <v>2</v>
          </cell>
          <cell r="B331">
            <v>15</v>
          </cell>
          <cell r="C331">
            <v>9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A332">
            <v>2</v>
          </cell>
          <cell r="B332">
            <v>15</v>
          </cell>
          <cell r="C332">
            <v>10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A333">
            <v>3</v>
          </cell>
          <cell r="B333">
            <v>1</v>
          </cell>
          <cell r="C333">
            <v>1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A334">
            <v>3</v>
          </cell>
          <cell r="B334">
            <v>1</v>
          </cell>
          <cell r="C334">
            <v>2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A335">
            <v>3</v>
          </cell>
          <cell r="B335">
            <v>1</v>
          </cell>
          <cell r="C335">
            <v>3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A336">
            <v>3</v>
          </cell>
          <cell r="B336">
            <v>1</v>
          </cell>
          <cell r="C336">
            <v>4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A337">
            <v>3</v>
          </cell>
          <cell r="B337">
            <v>1</v>
          </cell>
          <cell r="C337">
            <v>5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A338">
            <v>3</v>
          </cell>
          <cell r="B338">
            <v>1</v>
          </cell>
          <cell r="C338">
            <v>6</v>
          </cell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A339">
            <v>3</v>
          </cell>
          <cell r="B339">
            <v>1</v>
          </cell>
          <cell r="C339">
            <v>7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A340">
            <v>3</v>
          </cell>
          <cell r="B340">
            <v>1</v>
          </cell>
          <cell r="C340">
            <v>8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A341">
            <v>3</v>
          </cell>
          <cell r="B341">
            <v>1</v>
          </cell>
          <cell r="C341">
            <v>9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A342">
            <v>3</v>
          </cell>
          <cell r="B342">
            <v>1</v>
          </cell>
          <cell r="C342">
            <v>10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A343">
            <v>3</v>
          </cell>
          <cell r="B343">
            <v>2</v>
          </cell>
          <cell r="C343">
            <v>1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A344">
            <v>3</v>
          </cell>
          <cell r="B344">
            <v>2</v>
          </cell>
          <cell r="C344">
            <v>2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A345">
            <v>3</v>
          </cell>
          <cell r="B345">
            <v>2</v>
          </cell>
          <cell r="C345">
            <v>3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A346">
            <v>3</v>
          </cell>
          <cell r="B346">
            <v>2</v>
          </cell>
          <cell r="C346">
            <v>4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A347">
            <v>3</v>
          </cell>
          <cell r="B347">
            <v>2</v>
          </cell>
          <cell r="C347">
            <v>5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A348">
            <v>3</v>
          </cell>
          <cell r="B348">
            <v>2</v>
          </cell>
          <cell r="C348">
            <v>6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A349">
            <v>3</v>
          </cell>
          <cell r="B349">
            <v>2</v>
          </cell>
          <cell r="C349">
            <v>7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A350">
            <v>3</v>
          </cell>
          <cell r="B350">
            <v>2</v>
          </cell>
          <cell r="C350">
            <v>8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A351">
            <v>3</v>
          </cell>
          <cell r="B351">
            <v>2</v>
          </cell>
          <cell r="C351">
            <v>9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A352">
            <v>3</v>
          </cell>
          <cell r="B352">
            <v>2</v>
          </cell>
          <cell r="C352">
            <v>10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A353">
            <v>3</v>
          </cell>
          <cell r="B353">
            <v>3</v>
          </cell>
          <cell r="C353">
            <v>1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A354">
            <v>3</v>
          </cell>
          <cell r="B354">
            <v>3</v>
          </cell>
          <cell r="C354">
            <v>2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A355">
            <v>3</v>
          </cell>
          <cell r="B355">
            <v>3</v>
          </cell>
          <cell r="C355">
            <v>3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A356">
            <v>3</v>
          </cell>
          <cell r="B356">
            <v>3</v>
          </cell>
          <cell r="C356">
            <v>4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A357">
            <v>3</v>
          </cell>
          <cell r="B357">
            <v>3</v>
          </cell>
          <cell r="C357">
            <v>5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A358">
            <v>3</v>
          </cell>
          <cell r="B358">
            <v>3</v>
          </cell>
          <cell r="C358">
            <v>6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A359">
            <v>3</v>
          </cell>
          <cell r="B359">
            <v>3</v>
          </cell>
          <cell r="C359">
            <v>7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A360">
            <v>3</v>
          </cell>
          <cell r="B360">
            <v>3</v>
          </cell>
          <cell r="C360">
            <v>8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A361">
            <v>3</v>
          </cell>
          <cell r="B361">
            <v>3</v>
          </cell>
          <cell r="C361">
            <v>9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A362">
            <v>3</v>
          </cell>
          <cell r="B362">
            <v>3</v>
          </cell>
          <cell r="C362">
            <v>10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A363">
            <v>3</v>
          </cell>
          <cell r="B363">
            <v>4</v>
          </cell>
          <cell r="C363">
            <v>1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A364">
            <v>3</v>
          </cell>
          <cell r="B364">
            <v>4</v>
          </cell>
          <cell r="C364">
            <v>2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A365">
            <v>3</v>
          </cell>
          <cell r="B365">
            <v>4</v>
          </cell>
          <cell r="C365">
            <v>3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A366">
            <v>3</v>
          </cell>
          <cell r="B366">
            <v>4</v>
          </cell>
          <cell r="C366">
            <v>4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A367">
            <v>3</v>
          </cell>
          <cell r="B367">
            <v>4</v>
          </cell>
          <cell r="C367">
            <v>5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A368">
            <v>3</v>
          </cell>
          <cell r="B368">
            <v>4</v>
          </cell>
          <cell r="C368">
            <v>6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A369">
            <v>3</v>
          </cell>
          <cell r="B369">
            <v>4</v>
          </cell>
          <cell r="C369">
            <v>7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A370">
            <v>3</v>
          </cell>
          <cell r="B370">
            <v>4</v>
          </cell>
          <cell r="C370">
            <v>8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A371">
            <v>3</v>
          </cell>
          <cell r="B371">
            <v>4</v>
          </cell>
          <cell r="C371">
            <v>9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A372">
            <v>3</v>
          </cell>
          <cell r="B372">
            <v>4</v>
          </cell>
          <cell r="C372">
            <v>10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A373">
            <v>3</v>
          </cell>
          <cell r="B373">
            <v>5</v>
          </cell>
          <cell r="C373">
            <v>1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A374">
            <v>3</v>
          </cell>
          <cell r="B374">
            <v>5</v>
          </cell>
          <cell r="C374">
            <v>2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A375">
            <v>3</v>
          </cell>
          <cell r="B375">
            <v>5</v>
          </cell>
          <cell r="C375">
            <v>3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A376">
            <v>3</v>
          </cell>
          <cell r="B376">
            <v>5</v>
          </cell>
          <cell r="C376">
            <v>4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A377">
            <v>3</v>
          </cell>
          <cell r="B377">
            <v>5</v>
          </cell>
          <cell r="C377">
            <v>5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A378">
            <v>3</v>
          </cell>
          <cell r="B378">
            <v>5</v>
          </cell>
          <cell r="C378">
            <v>6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A379">
            <v>3</v>
          </cell>
          <cell r="B379">
            <v>5</v>
          </cell>
          <cell r="C379">
            <v>7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A380">
            <v>3</v>
          </cell>
          <cell r="B380">
            <v>5</v>
          </cell>
          <cell r="C380">
            <v>8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A381">
            <v>3</v>
          </cell>
          <cell r="B381">
            <v>5</v>
          </cell>
          <cell r="C381">
            <v>9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A382">
            <v>3</v>
          </cell>
          <cell r="B382">
            <v>5</v>
          </cell>
          <cell r="C382">
            <v>10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A383">
            <v>3</v>
          </cell>
          <cell r="B383">
            <v>6</v>
          </cell>
          <cell r="C383">
            <v>1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A384">
            <v>3</v>
          </cell>
          <cell r="B384">
            <v>6</v>
          </cell>
          <cell r="C384">
            <v>2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A385">
            <v>3</v>
          </cell>
          <cell r="B385">
            <v>6</v>
          </cell>
          <cell r="C385">
            <v>3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A386">
            <v>3</v>
          </cell>
          <cell r="B386">
            <v>6</v>
          </cell>
          <cell r="C386">
            <v>4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A387">
            <v>3</v>
          </cell>
          <cell r="B387">
            <v>6</v>
          </cell>
          <cell r="C387">
            <v>5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A388">
            <v>3</v>
          </cell>
          <cell r="B388">
            <v>6</v>
          </cell>
          <cell r="C388">
            <v>6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A389">
            <v>3</v>
          </cell>
          <cell r="B389">
            <v>6</v>
          </cell>
          <cell r="C389">
            <v>7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A390">
            <v>3</v>
          </cell>
          <cell r="B390">
            <v>6</v>
          </cell>
          <cell r="C390">
            <v>8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A391">
            <v>3</v>
          </cell>
          <cell r="B391">
            <v>6</v>
          </cell>
          <cell r="C391">
            <v>9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A392">
            <v>3</v>
          </cell>
          <cell r="B392">
            <v>6</v>
          </cell>
          <cell r="C392">
            <v>10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A393">
            <v>3</v>
          </cell>
          <cell r="B393">
            <v>7</v>
          </cell>
          <cell r="C393">
            <v>1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A394">
            <v>3</v>
          </cell>
          <cell r="B394">
            <v>7</v>
          </cell>
          <cell r="C394">
            <v>2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A395">
            <v>3</v>
          </cell>
          <cell r="B395">
            <v>7</v>
          </cell>
          <cell r="C395">
            <v>3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A396">
            <v>3</v>
          </cell>
          <cell r="B396">
            <v>7</v>
          </cell>
          <cell r="C396">
            <v>4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A397">
            <v>3</v>
          </cell>
          <cell r="B397">
            <v>7</v>
          </cell>
          <cell r="C397">
            <v>5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A398">
            <v>3</v>
          </cell>
          <cell r="B398">
            <v>7</v>
          </cell>
          <cell r="C398">
            <v>6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A399">
            <v>3</v>
          </cell>
          <cell r="B399">
            <v>7</v>
          </cell>
          <cell r="C399">
            <v>7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A400">
            <v>3</v>
          </cell>
          <cell r="B400">
            <v>7</v>
          </cell>
          <cell r="C400">
            <v>8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A401">
            <v>3</v>
          </cell>
          <cell r="B401">
            <v>7</v>
          </cell>
          <cell r="C401">
            <v>9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A402">
            <v>3</v>
          </cell>
          <cell r="B402">
            <v>7</v>
          </cell>
          <cell r="C402">
            <v>10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A403">
            <v>3</v>
          </cell>
          <cell r="B403">
            <v>8</v>
          </cell>
          <cell r="C403">
            <v>1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A404">
            <v>3</v>
          </cell>
          <cell r="B404">
            <v>8</v>
          </cell>
          <cell r="C404">
            <v>2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A405">
            <v>3</v>
          </cell>
          <cell r="B405">
            <v>8</v>
          </cell>
          <cell r="C405">
            <v>3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A406">
            <v>3</v>
          </cell>
          <cell r="B406">
            <v>8</v>
          </cell>
          <cell r="C406">
            <v>4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A407">
            <v>3</v>
          </cell>
          <cell r="B407">
            <v>8</v>
          </cell>
          <cell r="C407">
            <v>5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A408">
            <v>3</v>
          </cell>
          <cell r="B408">
            <v>8</v>
          </cell>
          <cell r="C408">
            <v>6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A409">
            <v>3</v>
          </cell>
          <cell r="B409">
            <v>8</v>
          </cell>
          <cell r="C409">
            <v>7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A410">
            <v>3</v>
          </cell>
          <cell r="B410">
            <v>8</v>
          </cell>
          <cell r="C410">
            <v>8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A411">
            <v>3</v>
          </cell>
          <cell r="B411">
            <v>8</v>
          </cell>
          <cell r="C411">
            <v>9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A412">
            <v>3</v>
          </cell>
          <cell r="B412">
            <v>8</v>
          </cell>
          <cell r="C412">
            <v>10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A413">
            <v>3</v>
          </cell>
          <cell r="B413">
            <v>9</v>
          </cell>
          <cell r="C413">
            <v>1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A414">
            <v>3</v>
          </cell>
          <cell r="B414">
            <v>9</v>
          </cell>
          <cell r="C414">
            <v>2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A415">
            <v>3</v>
          </cell>
          <cell r="B415">
            <v>9</v>
          </cell>
          <cell r="C415">
            <v>3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A416">
            <v>3</v>
          </cell>
          <cell r="B416">
            <v>9</v>
          </cell>
          <cell r="C416">
            <v>4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A417">
            <v>3</v>
          </cell>
          <cell r="B417">
            <v>9</v>
          </cell>
          <cell r="C417">
            <v>5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A418">
            <v>3</v>
          </cell>
          <cell r="B418">
            <v>9</v>
          </cell>
          <cell r="C418">
            <v>6</v>
          </cell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A419">
            <v>3</v>
          </cell>
          <cell r="B419">
            <v>9</v>
          </cell>
          <cell r="C419">
            <v>7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A420">
            <v>3</v>
          </cell>
          <cell r="B420">
            <v>9</v>
          </cell>
          <cell r="C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A421">
            <v>3</v>
          </cell>
          <cell r="B421">
            <v>9</v>
          </cell>
          <cell r="C421">
            <v>9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A422">
            <v>3</v>
          </cell>
          <cell r="B422">
            <v>9</v>
          </cell>
          <cell r="C422">
            <v>10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A423">
            <v>3</v>
          </cell>
          <cell r="B423">
            <v>10</v>
          </cell>
          <cell r="C423">
            <v>1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A424">
            <v>3</v>
          </cell>
          <cell r="B424">
            <v>10</v>
          </cell>
          <cell r="C424">
            <v>2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A425">
            <v>3</v>
          </cell>
          <cell r="B425">
            <v>10</v>
          </cell>
          <cell r="C425">
            <v>3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A426">
            <v>3</v>
          </cell>
          <cell r="B426">
            <v>10</v>
          </cell>
          <cell r="C426">
            <v>4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A427">
            <v>3</v>
          </cell>
          <cell r="B427">
            <v>10</v>
          </cell>
          <cell r="C427">
            <v>5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A428">
            <v>3</v>
          </cell>
          <cell r="B428">
            <v>10</v>
          </cell>
          <cell r="C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A429">
            <v>3</v>
          </cell>
          <cell r="B429">
            <v>10</v>
          </cell>
          <cell r="C429">
            <v>7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A430">
            <v>3</v>
          </cell>
          <cell r="B430">
            <v>10</v>
          </cell>
          <cell r="C430">
            <v>8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A431">
            <v>3</v>
          </cell>
          <cell r="B431">
            <v>10</v>
          </cell>
          <cell r="C431">
            <v>9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A432">
            <v>3</v>
          </cell>
          <cell r="B432">
            <v>10</v>
          </cell>
          <cell r="C432">
            <v>10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A433">
            <v>3</v>
          </cell>
          <cell r="B433">
            <v>11</v>
          </cell>
          <cell r="C433">
            <v>1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A434">
            <v>3</v>
          </cell>
          <cell r="B434">
            <v>11</v>
          </cell>
          <cell r="C434">
            <v>2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A435">
            <v>3</v>
          </cell>
          <cell r="B435">
            <v>11</v>
          </cell>
          <cell r="C435">
            <v>3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A436">
            <v>3</v>
          </cell>
          <cell r="B436">
            <v>11</v>
          </cell>
          <cell r="C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A437">
            <v>3</v>
          </cell>
          <cell r="B437">
            <v>11</v>
          </cell>
          <cell r="C437">
            <v>5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A438">
            <v>3</v>
          </cell>
          <cell r="B438">
            <v>11</v>
          </cell>
          <cell r="C438">
            <v>6</v>
          </cell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A439">
            <v>3</v>
          </cell>
          <cell r="B439">
            <v>11</v>
          </cell>
          <cell r="C439">
            <v>7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A440">
            <v>3</v>
          </cell>
          <cell r="B440">
            <v>11</v>
          </cell>
          <cell r="C440">
            <v>8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A441">
            <v>3</v>
          </cell>
          <cell r="B441">
            <v>11</v>
          </cell>
          <cell r="C441">
            <v>9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A442">
            <v>3</v>
          </cell>
          <cell r="B442">
            <v>11</v>
          </cell>
          <cell r="C442">
            <v>10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A443">
            <v>3</v>
          </cell>
          <cell r="B443">
            <v>12</v>
          </cell>
          <cell r="C443">
            <v>1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A444">
            <v>3</v>
          </cell>
          <cell r="B444">
            <v>12</v>
          </cell>
          <cell r="C444">
            <v>2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A445">
            <v>3</v>
          </cell>
          <cell r="B445">
            <v>12</v>
          </cell>
          <cell r="C445">
            <v>3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A446">
            <v>3</v>
          </cell>
          <cell r="B446">
            <v>12</v>
          </cell>
          <cell r="C446">
            <v>4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A447">
            <v>3</v>
          </cell>
          <cell r="B447">
            <v>12</v>
          </cell>
          <cell r="C447">
            <v>5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A448">
            <v>3</v>
          </cell>
          <cell r="B448">
            <v>12</v>
          </cell>
          <cell r="C448">
            <v>6</v>
          </cell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A449">
            <v>3</v>
          </cell>
          <cell r="B449">
            <v>12</v>
          </cell>
          <cell r="C449">
            <v>7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A450">
            <v>3</v>
          </cell>
          <cell r="B450">
            <v>12</v>
          </cell>
          <cell r="C450">
            <v>8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A451">
            <v>3</v>
          </cell>
          <cell r="B451">
            <v>12</v>
          </cell>
          <cell r="C451">
            <v>9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A452">
            <v>3</v>
          </cell>
          <cell r="B452">
            <v>12</v>
          </cell>
          <cell r="C452">
            <v>10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A453">
            <v>3</v>
          </cell>
          <cell r="B453">
            <v>13</v>
          </cell>
          <cell r="C453">
            <v>1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A454">
            <v>3</v>
          </cell>
          <cell r="B454">
            <v>13</v>
          </cell>
          <cell r="C454">
            <v>2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A455">
            <v>3</v>
          </cell>
          <cell r="B455">
            <v>13</v>
          </cell>
          <cell r="C455">
            <v>3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A456">
            <v>3</v>
          </cell>
          <cell r="B456">
            <v>13</v>
          </cell>
          <cell r="C456">
            <v>4</v>
          </cell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A457">
            <v>3</v>
          </cell>
          <cell r="B457">
            <v>13</v>
          </cell>
          <cell r="C457">
            <v>5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A458">
            <v>3</v>
          </cell>
          <cell r="B458">
            <v>13</v>
          </cell>
          <cell r="C458">
            <v>6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A459">
            <v>3</v>
          </cell>
          <cell r="B459">
            <v>13</v>
          </cell>
          <cell r="C459">
            <v>7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A460">
            <v>3</v>
          </cell>
          <cell r="B460">
            <v>13</v>
          </cell>
          <cell r="C460">
            <v>8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A461">
            <v>3</v>
          </cell>
          <cell r="B461">
            <v>13</v>
          </cell>
          <cell r="C461">
            <v>9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A462">
            <v>3</v>
          </cell>
          <cell r="B462">
            <v>13</v>
          </cell>
          <cell r="C462">
            <v>10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A463">
            <v>3</v>
          </cell>
          <cell r="B463">
            <v>14</v>
          </cell>
          <cell r="C463">
            <v>1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A464">
            <v>3</v>
          </cell>
          <cell r="B464">
            <v>14</v>
          </cell>
          <cell r="C464">
            <v>2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A465">
            <v>3</v>
          </cell>
          <cell r="B465">
            <v>14</v>
          </cell>
          <cell r="C465">
            <v>3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A466">
            <v>3</v>
          </cell>
          <cell r="B466">
            <v>14</v>
          </cell>
          <cell r="C466">
            <v>4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A467">
            <v>3</v>
          </cell>
          <cell r="B467">
            <v>14</v>
          </cell>
          <cell r="C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A468">
            <v>3</v>
          </cell>
          <cell r="B468">
            <v>14</v>
          </cell>
          <cell r="C468">
            <v>6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A469">
            <v>3</v>
          </cell>
          <cell r="B469">
            <v>14</v>
          </cell>
          <cell r="C469">
            <v>7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A470">
            <v>3</v>
          </cell>
          <cell r="B470">
            <v>14</v>
          </cell>
          <cell r="C470">
            <v>8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A471">
            <v>3</v>
          </cell>
          <cell r="B471">
            <v>14</v>
          </cell>
          <cell r="C471">
            <v>9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A472">
            <v>3</v>
          </cell>
          <cell r="B472">
            <v>14</v>
          </cell>
          <cell r="C472">
            <v>10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A473">
            <v>3</v>
          </cell>
          <cell r="B473">
            <v>15</v>
          </cell>
          <cell r="C473">
            <v>1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A474">
            <v>3</v>
          </cell>
          <cell r="B474">
            <v>15</v>
          </cell>
          <cell r="C474">
            <v>2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A475">
            <v>3</v>
          </cell>
          <cell r="B475">
            <v>15</v>
          </cell>
          <cell r="C475">
            <v>3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A476">
            <v>3</v>
          </cell>
          <cell r="B476">
            <v>15</v>
          </cell>
          <cell r="C476">
            <v>4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A477">
            <v>3</v>
          </cell>
          <cell r="B477">
            <v>15</v>
          </cell>
          <cell r="C477">
            <v>5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A478">
            <v>3</v>
          </cell>
          <cell r="B478">
            <v>15</v>
          </cell>
          <cell r="C478">
            <v>6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A479">
            <v>3</v>
          </cell>
          <cell r="B479">
            <v>15</v>
          </cell>
          <cell r="C479">
            <v>7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A480">
            <v>3</v>
          </cell>
          <cell r="B480">
            <v>15</v>
          </cell>
          <cell r="C480">
            <v>8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A481">
            <v>3</v>
          </cell>
          <cell r="B481">
            <v>15</v>
          </cell>
          <cell r="C481">
            <v>9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A482">
            <v>3</v>
          </cell>
          <cell r="B482">
            <v>15</v>
          </cell>
          <cell r="C482">
            <v>10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A483">
            <v>4</v>
          </cell>
          <cell r="B483">
            <v>1</v>
          </cell>
          <cell r="C483">
            <v>1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A484">
            <v>4</v>
          </cell>
          <cell r="B484">
            <v>1</v>
          </cell>
          <cell r="C484">
            <v>2</v>
          </cell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A485">
            <v>4</v>
          </cell>
          <cell r="B485">
            <v>1</v>
          </cell>
          <cell r="C485">
            <v>3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A486">
            <v>4</v>
          </cell>
          <cell r="B486">
            <v>1</v>
          </cell>
          <cell r="C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A487">
            <v>4</v>
          </cell>
          <cell r="B487">
            <v>1</v>
          </cell>
          <cell r="C487">
            <v>5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A488">
            <v>4</v>
          </cell>
          <cell r="B488">
            <v>1</v>
          </cell>
          <cell r="C488">
            <v>6</v>
          </cell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A489">
            <v>4</v>
          </cell>
          <cell r="B489">
            <v>1</v>
          </cell>
          <cell r="C489">
            <v>7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A490">
            <v>4</v>
          </cell>
          <cell r="B490">
            <v>1</v>
          </cell>
          <cell r="C490">
            <v>8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A491">
            <v>4</v>
          </cell>
          <cell r="B491">
            <v>1</v>
          </cell>
          <cell r="C491">
            <v>9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A492">
            <v>4</v>
          </cell>
          <cell r="B492">
            <v>1</v>
          </cell>
          <cell r="C492">
            <v>10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A493">
            <v>4</v>
          </cell>
          <cell r="B493">
            <v>2</v>
          </cell>
          <cell r="C493">
            <v>1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A494">
            <v>4</v>
          </cell>
          <cell r="B494">
            <v>2</v>
          </cell>
          <cell r="C494">
            <v>2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A495">
            <v>4</v>
          </cell>
          <cell r="B495">
            <v>2</v>
          </cell>
          <cell r="C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A496">
            <v>4</v>
          </cell>
          <cell r="B496">
            <v>2</v>
          </cell>
          <cell r="C496">
            <v>4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A497">
            <v>4</v>
          </cell>
          <cell r="B497">
            <v>2</v>
          </cell>
          <cell r="C497">
            <v>5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A498">
            <v>4</v>
          </cell>
          <cell r="B498">
            <v>2</v>
          </cell>
          <cell r="C498">
            <v>6</v>
          </cell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A499">
            <v>4</v>
          </cell>
          <cell r="B499">
            <v>2</v>
          </cell>
          <cell r="C499">
            <v>7</v>
          </cell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A500">
            <v>4</v>
          </cell>
          <cell r="B500">
            <v>2</v>
          </cell>
          <cell r="C500">
            <v>8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A501">
            <v>4</v>
          </cell>
          <cell r="B501">
            <v>2</v>
          </cell>
          <cell r="C501">
            <v>9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A502">
            <v>4</v>
          </cell>
          <cell r="B502">
            <v>2</v>
          </cell>
          <cell r="C502">
            <v>10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A503">
            <v>4</v>
          </cell>
          <cell r="B503">
            <v>3</v>
          </cell>
          <cell r="C503">
            <v>1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A504">
            <v>4</v>
          </cell>
          <cell r="B504">
            <v>3</v>
          </cell>
          <cell r="C504">
            <v>2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A505">
            <v>4</v>
          </cell>
          <cell r="B505">
            <v>3</v>
          </cell>
          <cell r="C505">
            <v>3</v>
          </cell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A506">
            <v>4</v>
          </cell>
          <cell r="B506">
            <v>3</v>
          </cell>
          <cell r="C506">
            <v>4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A507">
            <v>4</v>
          </cell>
          <cell r="B507">
            <v>3</v>
          </cell>
          <cell r="C507">
            <v>5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A508">
            <v>4</v>
          </cell>
          <cell r="B508">
            <v>3</v>
          </cell>
          <cell r="C508">
            <v>6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A509">
            <v>4</v>
          </cell>
          <cell r="B509">
            <v>3</v>
          </cell>
          <cell r="C509">
            <v>7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A510">
            <v>4</v>
          </cell>
          <cell r="B510">
            <v>3</v>
          </cell>
          <cell r="C510">
            <v>8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A511">
            <v>4</v>
          </cell>
          <cell r="B511">
            <v>3</v>
          </cell>
          <cell r="C511">
            <v>9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A512">
            <v>4</v>
          </cell>
          <cell r="B512">
            <v>3</v>
          </cell>
          <cell r="C512">
            <v>10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A513">
            <v>4</v>
          </cell>
          <cell r="B513">
            <v>4</v>
          </cell>
          <cell r="C513">
            <v>1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A514">
            <v>4</v>
          </cell>
          <cell r="B514">
            <v>4</v>
          </cell>
          <cell r="C514">
            <v>2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A515">
            <v>4</v>
          </cell>
          <cell r="B515">
            <v>4</v>
          </cell>
          <cell r="C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A516">
            <v>4</v>
          </cell>
          <cell r="B516">
            <v>4</v>
          </cell>
          <cell r="C516">
            <v>4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A517">
            <v>4</v>
          </cell>
          <cell r="B517">
            <v>4</v>
          </cell>
          <cell r="C517">
            <v>5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A518">
            <v>4</v>
          </cell>
          <cell r="B518">
            <v>4</v>
          </cell>
          <cell r="C518">
            <v>6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A519">
            <v>4</v>
          </cell>
          <cell r="B519">
            <v>4</v>
          </cell>
          <cell r="C519">
            <v>7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A520">
            <v>4</v>
          </cell>
          <cell r="B520">
            <v>4</v>
          </cell>
          <cell r="C520">
            <v>8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A521">
            <v>4</v>
          </cell>
          <cell r="B521">
            <v>4</v>
          </cell>
          <cell r="C521">
            <v>9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A522">
            <v>4</v>
          </cell>
          <cell r="B522">
            <v>4</v>
          </cell>
          <cell r="C522">
            <v>10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A523">
            <v>4</v>
          </cell>
          <cell r="B523">
            <v>5</v>
          </cell>
          <cell r="C523">
            <v>1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A524">
            <v>4</v>
          </cell>
          <cell r="B524">
            <v>5</v>
          </cell>
          <cell r="C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A525">
            <v>4</v>
          </cell>
          <cell r="B525">
            <v>5</v>
          </cell>
          <cell r="C525">
            <v>3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A526">
            <v>4</v>
          </cell>
          <cell r="B526">
            <v>5</v>
          </cell>
          <cell r="C526">
            <v>4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A527">
            <v>4</v>
          </cell>
          <cell r="B527">
            <v>5</v>
          </cell>
          <cell r="C527">
            <v>5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A528">
            <v>4</v>
          </cell>
          <cell r="B528">
            <v>5</v>
          </cell>
          <cell r="C528">
            <v>6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A529">
            <v>4</v>
          </cell>
          <cell r="B529">
            <v>5</v>
          </cell>
          <cell r="C529">
            <v>7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A530">
            <v>4</v>
          </cell>
          <cell r="B530">
            <v>5</v>
          </cell>
          <cell r="C530">
            <v>8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A531">
            <v>4</v>
          </cell>
          <cell r="B531">
            <v>5</v>
          </cell>
          <cell r="C531">
            <v>9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A532">
            <v>4</v>
          </cell>
          <cell r="B532">
            <v>5</v>
          </cell>
          <cell r="C532">
            <v>10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A533">
            <v>4</v>
          </cell>
          <cell r="B533">
            <v>6</v>
          </cell>
          <cell r="C533">
            <v>1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A534">
            <v>4</v>
          </cell>
          <cell r="B534">
            <v>6</v>
          </cell>
          <cell r="C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A535">
            <v>4</v>
          </cell>
          <cell r="B535">
            <v>6</v>
          </cell>
          <cell r="C535">
            <v>3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A536">
            <v>4</v>
          </cell>
          <cell r="B536">
            <v>6</v>
          </cell>
          <cell r="C536">
            <v>4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A537">
            <v>4</v>
          </cell>
          <cell r="B537">
            <v>6</v>
          </cell>
          <cell r="C537">
            <v>5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A538">
            <v>4</v>
          </cell>
          <cell r="B538">
            <v>6</v>
          </cell>
          <cell r="C538">
            <v>6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A539">
            <v>4</v>
          </cell>
          <cell r="B539">
            <v>6</v>
          </cell>
          <cell r="C539">
            <v>7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A540">
            <v>4</v>
          </cell>
          <cell r="B540">
            <v>6</v>
          </cell>
          <cell r="C540">
            <v>8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A541">
            <v>4</v>
          </cell>
          <cell r="B541">
            <v>6</v>
          </cell>
          <cell r="C541">
            <v>9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A542">
            <v>4</v>
          </cell>
          <cell r="B542">
            <v>6</v>
          </cell>
          <cell r="C542">
            <v>10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A543">
            <v>4</v>
          </cell>
          <cell r="B543">
            <v>7</v>
          </cell>
          <cell r="C543">
            <v>1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A544">
            <v>4</v>
          </cell>
          <cell r="B544">
            <v>7</v>
          </cell>
          <cell r="C544">
            <v>2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A545">
            <v>4</v>
          </cell>
          <cell r="B545">
            <v>7</v>
          </cell>
          <cell r="C545">
            <v>3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A546">
            <v>4</v>
          </cell>
          <cell r="B546">
            <v>7</v>
          </cell>
          <cell r="C546">
            <v>4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A547">
            <v>4</v>
          </cell>
          <cell r="B547">
            <v>7</v>
          </cell>
          <cell r="C547">
            <v>5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A548">
            <v>4</v>
          </cell>
          <cell r="B548">
            <v>7</v>
          </cell>
          <cell r="C548">
            <v>6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A549">
            <v>4</v>
          </cell>
          <cell r="B549">
            <v>7</v>
          </cell>
          <cell r="C549">
            <v>7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A550">
            <v>4</v>
          </cell>
          <cell r="B550">
            <v>7</v>
          </cell>
          <cell r="C550">
            <v>8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A551">
            <v>4</v>
          </cell>
          <cell r="B551">
            <v>7</v>
          </cell>
          <cell r="C551">
            <v>9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A552">
            <v>4</v>
          </cell>
          <cell r="B552">
            <v>7</v>
          </cell>
          <cell r="C552">
            <v>10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A553">
            <v>4</v>
          </cell>
          <cell r="B553">
            <v>8</v>
          </cell>
          <cell r="C553">
            <v>1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A554">
            <v>4</v>
          </cell>
          <cell r="B554">
            <v>8</v>
          </cell>
          <cell r="C554">
            <v>2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A555">
            <v>4</v>
          </cell>
          <cell r="B555">
            <v>8</v>
          </cell>
          <cell r="C555">
            <v>3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A556">
            <v>4</v>
          </cell>
          <cell r="B556">
            <v>8</v>
          </cell>
          <cell r="C556">
            <v>4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A557">
            <v>4</v>
          </cell>
          <cell r="B557">
            <v>8</v>
          </cell>
          <cell r="C557">
            <v>5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A558">
            <v>4</v>
          </cell>
          <cell r="B558">
            <v>8</v>
          </cell>
          <cell r="C558">
            <v>6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A559">
            <v>4</v>
          </cell>
          <cell r="B559">
            <v>8</v>
          </cell>
          <cell r="C559">
            <v>7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A560">
            <v>4</v>
          </cell>
          <cell r="B560">
            <v>8</v>
          </cell>
          <cell r="C560">
            <v>8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A561">
            <v>4</v>
          </cell>
          <cell r="B561">
            <v>8</v>
          </cell>
          <cell r="C561">
            <v>9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A562">
            <v>4</v>
          </cell>
          <cell r="B562">
            <v>8</v>
          </cell>
          <cell r="C562">
            <v>10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A563">
            <v>4</v>
          </cell>
          <cell r="B563">
            <v>9</v>
          </cell>
          <cell r="C563">
            <v>1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A564">
            <v>4</v>
          </cell>
          <cell r="B564">
            <v>9</v>
          </cell>
          <cell r="C564">
            <v>2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A565">
            <v>4</v>
          </cell>
          <cell r="B565">
            <v>9</v>
          </cell>
          <cell r="C565">
            <v>3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A566">
            <v>4</v>
          </cell>
          <cell r="B566">
            <v>9</v>
          </cell>
          <cell r="C566">
            <v>4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A567">
            <v>4</v>
          </cell>
          <cell r="B567">
            <v>9</v>
          </cell>
          <cell r="C567">
            <v>5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A568">
            <v>4</v>
          </cell>
          <cell r="B568">
            <v>9</v>
          </cell>
          <cell r="C568">
            <v>6</v>
          </cell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A569">
            <v>4</v>
          </cell>
          <cell r="B569">
            <v>9</v>
          </cell>
          <cell r="C569">
            <v>7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A570">
            <v>4</v>
          </cell>
          <cell r="B570">
            <v>9</v>
          </cell>
          <cell r="C570">
            <v>8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A571">
            <v>4</v>
          </cell>
          <cell r="B571">
            <v>9</v>
          </cell>
          <cell r="C571">
            <v>9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A572">
            <v>4</v>
          </cell>
          <cell r="B572">
            <v>9</v>
          </cell>
          <cell r="C572">
            <v>10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A573">
            <v>4</v>
          </cell>
          <cell r="B573">
            <v>10</v>
          </cell>
          <cell r="C573">
            <v>1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A574">
            <v>4</v>
          </cell>
          <cell r="B574">
            <v>10</v>
          </cell>
          <cell r="C574">
            <v>2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A575">
            <v>4</v>
          </cell>
          <cell r="B575">
            <v>10</v>
          </cell>
          <cell r="C575">
            <v>3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A576">
            <v>4</v>
          </cell>
          <cell r="B576">
            <v>10</v>
          </cell>
          <cell r="C576">
            <v>4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A577">
            <v>4</v>
          </cell>
          <cell r="B577">
            <v>10</v>
          </cell>
          <cell r="C577">
            <v>5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A578">
            <v>4</v>
          </cell>
          <cell r="B578">
            <v>10</v>
          </cell>
          <cell r="C578">
            <v>6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A579">
            <v>4</v>
          </cell>
          <cell r="B579">
            <v>10</v>
          </cell>
          <cell r="C579">
            <v>7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A580">
            <v>4</v>
          </cell>
          <cell r="B580">
            <v>10</v>
          </cell>
          <cell r="C580">
            <v>8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A581">
            <v>4</v>
          </cell>
          <cell r="B581">
            <v>10</v>
          </cell>
          <cell r="C581">
            <v>9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A582">
            <v>4</v>
          </cell>
          <cell r="B582">
            <v>10</v>
          </cell>
          <cell r="C582">
            <v>10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A583">
            <v>4</v>
          </cell>
          <cell r="B583">
            <v>11</v>
          </cell>
          <cell r="C583">
            <v>1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A584">
            <v>4</v>
          </cell>
          <cell r="B584">
            <v>11</v>
          </cell>
          <cell r="C584">
            <v>2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A585">
            <v>4</v>
          </cell>
          <cell r="B585">
            <v>11</v>
          </cell>
          <cell r="C585">
            <v>3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A586">
            <v>4</v>
          </cell>
          <cell r="B586">
            <v>11</v>
          </cell>
          <cell r="C586">
            <v>4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A587">
            <v>4</v>
          </cell>
          <cell r="B587">
            <v>11</v>
          </cell>
          <cell r="C587">
            <v>5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A588">
            <v>4</v>
          </cell>
          <cell r="B588">
            <v>11</v>
          </cell>
          <cell r="C588">
            <v>6</v>
          </cell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A589">
            <v>4</v>
          </cell>
          <cell r="B589">
            <v>11</v>
          </cell>
          <cell r="C589">
            <v>7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A590">
            <v>4</v>
          </cell>
          <cell r="B590">
            <v>11</v>
          </cell>
          <cell r="C590">
            <v>8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A591">
            <v>4</v>
          </cell>
          <cell r="B591">
            <v>11</v>
          </cell>
          <cell r="C591">
            <v>9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A592">
            <v>4</v>
          </cell>
          <cell r="B592">
            <v>11</v>
          </cell>
          <cell r="C592">
            <v>10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A593">
            <v>4</v>
          </cell>
          <cell r="B593">
            <v>12</v>
          </cell>
          <cell r="C593">
            <v>1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A594">
            <v>4</v>
          </cell>
          <cell r="B594">
            <v>12</v>
          </cell>
          <cell r="C594">
            <v>2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A595">
            <v>4</v>
          </cell>
          <cell r="B595">
            <v>12</v>
          </cell>
          <cell r="C595">
            <v>3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A596">
            <v>4</v>
          </cell>
          <cell r="B596">
            <v>12</v>
          </cell>
          <cell r="C596">
            <v>4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A597">
            <v>4</v>
          </cell>
          <cell r="B597">
            <v>12</v>
          </cell>
          <cell r="C597">
            <v>5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A598">
            <v>4</v>
          </cell>
          <cell r="B598">
            <v>12</v>
          </cell>
          <cell r="C598">
            <v>6</v>
          </cell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A599">
            <v>4</v>
          </cell>
          <cell r="B599">
            <v>12</v>
          </cell>
          <cell r="C599">
            <v>7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A600">
            <v>4</v>
          </cell>
          <cell r="B600">
            <v>12</v>
          </cell>
          <cell r="C600">
            <v>8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A601">
            <v>4</v>
          </cell>
          <cell r="B601">
            <v>12</v>
          </cell>
          <cell r="C601">
            <v>9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A602">
            <v>4</v>
          </cell>
          <cell r="B602">
            <v>12</v>
          </cell>
          <cell r="C602">
            <v>10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A603">
            <v>4</v>
          </cell>
          <cell r="B603">
            <v>13</v>
          </cell>
          <cell r="C603">
            <v>1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A604">
            <v>4</v>
          </cell>
          <cell r="B604">
            <v>13</v>
          </cell>
          <cell r="C604">
            <v>2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A605">
            <v>4</v>
          </cell>
          <cell r="B605">
            <v>13</v>
          </cell>
          <cell r="C605">
            <v>3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A606">
            <v>4</v>
          </cell>
          <cell r="B606">
            <v>13</v>
          </cell>
          <cell r="C606">
            <v>4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A607">
            <v>4</v>
          </cell>
          <cell r="B607">
            <v>13</v>
          </cell>
          <cell r="C607">
            <v>5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A608">
            <v>4</v>
          </cell>
          <cell r="B608">
            <v>13</v>
          </cell>
          <cell r="C608">
            <v>6</v>
          </cell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A609">
            <v>4</v>
          </cell>
          <cell r="B609">
            <v>13</v>
          </cell>
          <cell r="C609">
            <v>7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A610">
            <v>4</v>
          </cell>
          <cell r="B610">
            <v>13</v>
          </cell>
          <cell r="C610">
            <v>8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A611">
            <v>4</v>
          </cell>
          <cell r="B611">
            <v>13</v>
          </cell>
          <cell r="C611">
            <v>9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A612">
            <v>4</v>
          </cell>
          <cell r="B612">
            <v>13</v>
          </cell>
          <cell r="C612">
            <v>10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A613">
            <v>4</v>
          </cell>
          <cell r="B613">
            <v>14</v>
          </cell>
          <cell r="C613">
            <v>1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A614">
            <v>4</v>
          </cell>
          <cell r="B614">
            <v>14</v>
          </cell>
          <cell r="C614">
            <v>2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A615">
            <v>4</v>
          </cell>
          <cell r="B615">
            <v>14</v>
          </cell>
          <cell r="C615">
            <v>3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A616">
            <v>4</v>
          </cell>
          <cell r="B616">
            <v>14</v>
          </cell>
          <cell r="C616">
            <v>4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A617">
            <v>4</v>
          </cell>
          <cell r="B617">
            <v>14</v>
          </cell>
          <cell r="C617">
            <v>5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A618">
            <v>4</v>
          </cell>
          <cell r="B618">
            <v>14</v>
          </cell>
          <cell r="C618">
            <v>6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A619">
            <v>4</v>
          </cell>
          <cell r="B619">
            <v>14</v>
          </cell>
          <cell r="C619">
            <v>7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A620">
            <v>4</v>
          </cell>
          <cell r="B620">
            <v>14</v>
          </cell>
          <cell r="C620">
            <v>8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A621">
            <v>4</v>
          </cell>
          <cell r="B621">
            <v>14</v>
          </cell>
          <cell r="C621">
            <v>9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A622">
            <v>4</v>
          </cell>
          <cell r="B622">
            <v>14</v>
          </cell>
          <cell r="C622">
            <v>10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A623">
            <v>4</v>
          </cell>
          <cell r="B623">
            <v>15</v>
          </cell>
          <cell r="C623">
            <v>1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A624">
            <v>4</v>
          </cell>
          <cell r="B624">
            <v>15</v>
          </cell>
          <cell r="C624">
            <v>2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A625">
            <v>4</v>
          </cell>
          <cell r="B625">
            <v>15</v>
          </cell>
          <cell r="C625">
            <v>3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A626">
            <v>4</v>
          </cell>
          <cell r="B626">
            <v>15</v>
          </cell>
          <cell r="C626">
            <v>4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A627">
            <v>4</v>
          </cell>
          <cell r="B627">
            <v>15</v>
          </cell>
          <cell r="C627">
            <v>5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A628">
            <v>4</v>
          </cell>
          <cell r="B628">
            <v>15</v>
          </cell>
          <cell r="C628">
            <v>6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A629">
            <v>4</v>
          </cell>
          <cell r="B629">
            <v>15</v>
          </cell>
          <cell r="C629">
            <v>7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A630">
            <v>4</v>
          </cell>
          <cell r="B630">
            <v>15</v>
          </cell>
          <cell r="C630">
            <v>8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A631">
            <v>4</v>
          </cell>
          <cell r="B631">
            <v>15</v>
          </cell>
          <cell r="C631">
            <v>9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A632">
            <v>4</v>
          </cell>
          <cell r="B632">
            <v>15</v>
          </cell>
          <cell r="C632">
            <v>10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A633">
            <v>5</v>
          </cell>
          <cell r="B633">
            <v>1</v>
          </cell>
          <cell r="C633">
            <v>1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A634">
            <v>5</v>
          </cell>
          <cell r="B634">
            <v>1</v>
          </cell>
          <cell r="C634">
            <v>2</v>
          </cell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A635">
            <v>5</v>
          </cell>
          <cell r="B635">
            <v>1</v>
          </cell>
          <cell r="C635">
            <v>3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A636">
            <v>5</v>
          </cell>
          <cell r="B636">
            <v>1</v>
          </cell>
          <cell r="C636">
            <v>4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A637">
            <v>5</v>
          </cell>
          <cell r="B637">
            <v>1</v>
          </cell>
          <cell r="C637">
            <v>5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A638">
            <v>5</v>
          </cell>
          <cell r="B638">
            <v>1</v>
          </cell>
          <cell r="C638">
            <v>6</v>
          </cell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A639">
            <v>5</v>
          </cell>
          <cell r="B639">
            <v>1</v>
          </cell>
          <cell r="C639">
            <v>7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A640">
            <v>5</v>
          </cell>
          <cell r="B640">
            <v>1</v>
          </cell>
          <cell r="C640">
            <v>8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A641">
            <v>5</v>
          </cell>
          <cell r="B641">
            <v>1</v>
          </cell>
          <cell r="C641">
            <v>9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A642">
            <v>5</v>
          </cell>
          <cell r="B642">
            <v>1</v>
          </cell>
          <cell r="C642">
            <v>10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A643">
            <v>5</v>
          </cell>
          <cell r="B643">
            <v>2</v>
          </cell>
          <cell r="C643">
            <v>1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A644">
            <v>5</v>
          </cell>
          <cell r="B644">
            <v>2</v>
          </cell>
          <cell r="C644">
            <v>2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A645">
            <v>5</v>
          </cell>
          <cell r="B645">
            <v>2</v>
          </cell>
          <cell r="C645">
            <v>3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A646">
            <v>5</v>
          </cell>
          <cell r="B646">
            <v>2</v>
          </cell>
          <cell r="C646">
            <v>4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A647">
            <v>5</v>
          </cell>
          <cell r="B647">
            <v>2</v>
          </cell>
          <cell r="C647">
            <v>5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A648">
            <v>5</v>
          </cell>
          <cell r="B648">
            <v>2</v>
          </cell>
          <cell r="C648">
            <v>6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A649">
            <v>5</v>
          </cell>
          <cell r="B649">
            <v>2</v>
          </cell>
          <cell r="C649">
            <v>7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A650">
            <v>5</v>
          </cell>
          <cell r="B650">
            <v>2</v>
          </cell>
          <cell r="C650">
            <v>8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A651">
            <v>5</v>
          </cell>
          <cell r="B651">
            <v>2</v>
          </cell>
          <cell r="C651">
            <v>9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A652">
            <v>5</v>
          </cell>
          <cell r="B652">
            <v>2</v>
          </cell>
          <cell r="C652">
            <v>10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A653">
            <v>5</v>
          </cell>
          <cell r="B653">
            <v>3</v>
          </cell>
          <cell r="C653">
            <v>1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A654">
            <v>5</v>
          </cell>
          <cell r="B654">
            <v>3</v>
          </cell>
          <cell r="C654">
            <v>2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A655">
            <v>5</v>
          </cell>
          <cell r="B655">
            <v>3</v>
          </cell>
          <cell r="C655">
            <v>3</v>
          </cell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A656">
            <v>5</v>
          </cell>
          <cell r="B656">
            <v>3</v>
          </cell>
          <cell r="C656">
            <v>4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A657">
            <v>5</v>
          </cell>
          <cell r="B657">
            <v>3</v>
          </cell>
          <cell r="C657">
            <v>5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A658">
            <v>5</v>
          </cell>
          <cell r="B658">
            <v>3</v>
          </cell>
          <cell r="C658">
            <v>6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A659">
            <v>5</v>
          </cell>
          <cell r="B659">
            <v>3</v>
          </cell>
          <cell r="C659">
            <v>7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A660">
            <v>5</v>
          </cell>
          <cell r="B660">
            <v>3</v>
          </cell>
          <cell r="C660">
            <v>8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A661">
            <v>5</v>
          </cell>
          <cell r="B661">
            <v>3</v>
          </cell>
          <cell r="C661">
            <v>9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A662">
            <v>5</v>
          </cell>
          <cell r="B662">
            <v>3</v>
          </cell>
          <cell r="C662">
            <v>10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A663">
            <v>5</v>
          </cell>
          <cell r="B663">
            <v>4</v>
          </cell>
          <cell r="C663">
            <v>1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A664">
            <v>5</v>
          </cell>
          <cell r="B664">
            <v>4</v>
          </cell>
          <cell r="C664">
            <v>2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A665">
            <v>5</v>
          </cell>
          <cell r="B665">
            <v>4</v>
          </cell>
          <cell r="C665">
            <v>3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A666">
            <v>5</v>
          </cell>
          <cell r="B666">
            <v>4</v>
          </cell>
          <cell r="C666">
            <v>4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A667">
            <v>5</v>
          </cell>
          <cell r="B667">
            <v>4</v>
          </cell>
          <cell r="C667">
            <v>5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A668">
            <v>5</v>
          </cell>
          <cell r="B668">
            <v>4</v>
          </cell>
          <cell r="C668">
            <v>6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A669">
            <v>5</v>
          </cell>
          <cell r="B669">
            <v>4</v>
          </cell>
          <cell r="C669">
            <v>7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A670">
            <v>5</v>
          </cell>
          <cell r="B670">
            <v>4</v>
          </cell>
          <cell r="C670">
            <v>8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A671">
            <v>5</v>
          </cell>
          <cell r="B671">
            <v>4</v>
          </cell>
          <cell r="C671">
            <v>9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A672">
            <v>5</v>
          </cell>
          <cell r="B672">
            <v>4</v>
          </cell>
          <cell r="C672">
            <v>10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A673">
            <v>5</v>
          </cell>
          <cell r="B673">
            <v>5</v>
          </cell>
          <cell r="C673">
            <v>1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A674">
            <v>5</v>
          </cell>
          <cell r="B674">
            <v>5</v>
          </cell>
          <cell r="C674">
            <v>2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A675">
            <v>5</v>
          </cell>
          <cell r="B675">
            <v>5</v>
          </cell>
          <cell r="C675">
            <v>3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A676">
            <v>5</v>
          </cell>
          <cell r="B676">
            <v>5</v>
          </cell>
          <cell r="C676">
            <v>4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A677">
            <v>5</v>
          </cell>
          <cell r="B677">
            <v>5</v>
          </cell>
          <cell r="C677">
            <v>5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A678">
            <v>5</v>
          </cell>
          <cell r="B678">
            <v>5</v>
          </cell>
          <cell r="C678">
            <v>6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A679">
            <v>5</v>
          </cell>
          <cell r="B679">
            <v>5</v>
          </cell>
          <cell r="C679">
            <v>7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A680">
            <v>5</v>
          </cell>
          <cell r="B680">
            <v>5</v>
          </cell>
          <cell r="C680">
            <v>8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A681">
            <v>5</v>
          </cell>
          <cell r="B681">
            <v>5</v>
          </cell>
          <cell r="C681">
            <v>9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A682">
            <v>5</v>
          </cell>
          <cell r="B682">
            <v>5</v>
          </cell>
          <cell r="C682">
            <v>10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A683">
            <v>5</v>
          </cell>
          <cell r="B683">
            <v>6</v>
          </cell>
          <cell r="C683">
            <v>1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A684">
            <v>5</v>
          </cell>
          <cell r="B684">
            <v>6</v>
          </cell>
          <cell r="C684">
            <v>2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A685">
            <v>5</v>
          </cell>
          <cell r="B685">
            <v>6</v>
          </cell>
          <cell r="C685">
            <v>3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A686">
            <v>5</v>
          </cell>
          <cell r="B686">
            <v>6</v>
          </cell>
          <cell r="C686">
            <v>4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A687">
            <v>5</v>
          </cell>
          <cell r="B687">
            <v>6</v>
          </cell>
          <cell r="C687">
            <v>5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A688">
            <v>5</v>
          </cell>
          <cell r="B688">
            <v>6</v>
          </cell>
          <cell r="C688">
            <v>6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A689">
            <v>5</v>
          </cell>
          <cell r="B689">
            <v>6</v>
          </cell>
          <cell r="C689">
            <v>7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A690">
            <v>5</v>
          </cell>
          <cell r="B690">
            <v>6</v>
          </cell>
          <cell r="C690">
            <v>8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A691">
            <v>5</v>
          </cell>
          <cell r="B691">
            <v>6</v>
          </cell>
          <cell r="C691">
            <v>9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A692">
            <v>5</v>
          </cell>
          <cell r="B692">
            <v>6</v>
          </cell>
          <cell r="C692">
            <v>10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A693">
            <v>5</v>
          </cell>
          <cell r="B693">
            <v>7</v>
          </cell>
          <cell r="C693">
            <v>1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A694">
            <v>5</v>
          </cell>
          <cell r="B694">
            <v>7</v>
          </cell>
          <cell r="C694">
            <v>2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A695">
            <v>5</v>
          </cell>
          <cell r="B695">
            <v>7</v>
          </cell>
          <cell r="C695">
            <v>3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A696">
            <v>5</v>
          </cell>
          <cell r="B696">
            <v>7</v>
          </cell>
          <cell r="C696">
            <v>4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A697">
            <v>5</v>
          </cell>
          <cell r="B697">
            <v>7</v>
          </cell>
          <cell r="C697">
            <v>5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A698">
            <v>5</v>
          </cell>
          <cell r="B698">
            <v>7</v>
          </cell>
          <cell r="C698">
            <v>6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A699">
            <v>5</v>
          </cell>
          <cell r="B699">
            <v>7</v>
          </cell>
          <cell r="C699">
            <v>7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A700">
            <v>5</v>
          </cell>
          <cell r="B700">
            <v>7</v>
          </cell>
          <cell r="C700">
            <v>8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A701">
            <v>5</v>
          </cell>
          <cell r="B701">
            <v>7</v>
          </cell>
          <cell r="C701">
            <v>9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A702">
            <v>5</v>
          </cell>
          <cell r="B702">
            <v>7</v>
          </cell>
          <cell r="C702">
            <v>10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A703">
            <v>5</v>
          </cell>
          <cell r="B703">
            <v>8</v>
          </cell>
          <cell r="C703">
            <v>1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A704">
            <v>5</v>
          </cell>
          <cell r="B704">
            <v>8</v>
          </cell>
          <cell r="C704">
            <v>2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A705">
            <v>5</v>
          </cell>
          <cell r="B705">
            <v>8</v>
          </cell>
          <cell r="C705">
            <v>3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A706">
            <v>5</v>
          </cell>
          <cell r="B706">
            <v>8</v>
          </cell>
          <cell r="C706">
            <v>4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A707">
            <v>5</v>
          </cell>
          <cell r="B707">
            <v>8</v>
          </cell>
          <cell r="C707">
            <v>5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A708">
            <v>5</v>
          </cell>
          <cell r="B708">
            <v>8</v>
          </cell>
          <cell r="C708">
            <v>6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A709">
            <v>5</v>
          </cell>
          <cell r="B709">
            <v>8</v>
          </cell>
          <cell r="C709">
            <v>7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A710">
            <v>5</v>
          </cell>
          <cell r="B710">
            <v>8</v>
          </cell>
          <cell r="C710">
            <v>8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A711">
            <v>5</v>
          </cell>
          <cell r="B711">
            <v>8</v>
          </cell>
          <cell r="C711">
            <v>9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A712">
            <v>5</v>
          </cell>
          <cell r="B712">
            <v>8</v>
          </cell>
          <cell r="C712">
            <v>10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A713">
            <v>5</v>
          </cell>
          <cell r="B713">
            <v>9</v>
          </cell>
          <cell r="C713">
            <v>1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A714">
            <v>5</v>
          </cell>
          <cell r="B714">
            <v>9</v>
          </cell>
          <cell r="C714">
            <v>2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A715">
            <v>5</v>
          </cell>
          <cell r="B715">
            <v>9</v>
          </cell>
          <cell r="C715">
            <v>3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A716">
            <v>5</v>
          </cell>
          <cell r="B716">
            <v>9</v>
          </cell>
          <cell r="C716">
            <v>4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A717">
            <v>5</v>
          </cell>
          <cell r="B717">
            <v>9</v>
          </cell>
          <cell r="C717">
            <v>5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A718">
            <v>5</v>
          </cell>
          <cell r="B718">
            <v>9</v>
          </cell>
          <cell r="C718">
            <v>6</v>
          </cell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A719">
            <v>5</v>
          </cell>
          <cell r="B719">
            <v>9</v>
          </cell>
          <cell r="C719">
            <v>7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A720">
            <v>5</v>
          </cell>
          <cell r="B720">
            <v>9</v>
          </cell>
          <cell r="C720">
            <v>8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A721">
            <v>5</v>
          </cell>
          <cell r="B721">
            <v>9</v>
          </cell>
          <cell r="C721">
            <v>9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A722">
            <v>5</v>
          </cell>
          <cell r="B722">
            <v>9</v>
          </cell>
          <cell r="C722">
            <v>10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A723">
            <v>5</v>
          </cell>
          <cell r="B723">
            <v>10</v>
          </cell>
          <cell r="C723">
            <v>1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A724">
            <v>5</v>
          </cell>
          <cell r="B724">
            <v>10</v>
          </cell>
          <cell r="C724">
            <v>2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A725">
            <v>5</v>
          </cell>
          <cell r="B725">
            <v>10</v>
          </cell>
          <cell r="C725">
            <v>3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A726">
            <v>5</v>
          </cell>
          <cell r="B726">
            <v>10</v>
          </cell>
          <cell r="C726">
            <v>4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A727">
            <v>5</v>
          </cell>
          <cell r="B727">
            <v>10</v>
          </cell>
          <cell r="C727">
            <v>5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A728">
            <v>5</v>
          </cell>
          <cell r="B728">
            <v>10</v>
          </cell>
          <cell r="C728">
            <v>6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A729">
            <v>5</v>
          </cell>
          <cell r="B729">
            <v>10</v>
          </cell>
          <cell r="C729">
            <v>7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A730">
            <v>5</v>
          </cell>
          <cell r="B730">
            <v>10</v>
          </cell>
          <cell r="C730">
            <v>8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A731">
            <v>5</v>
          </cell>
          <cell r="B731">
            <v>10</v>
          </cell>
          <cell r="C731">
            <v>9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A732">
            <v>5</v>
          </cell>
          <cell r="B732">
            <v>10</v>
          </cell>
          <cell r="C732">
            <v>10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A733">
            <v>5</v>
          </cell>
          <cell r="B733">
            <v>11</v>
          </cell>
          <cell r="C733">
            <v>1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A734">
            <v>5</v>
          </cell>
          <cell r="B734">
            <v>11</v>
          </cell>
          <cell r="C734">
            <v>2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A735">
            <v>5</v>
          </cell>
          <cell r="B735">
            <v>11</v>
          </cell>
          <cell r="C735">
            <v>3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A736">
            <v>5</v>
          </cell>
          <cell r="B736">
            <v>11</v>
          </cell>
          <cell r="C736">
            <v>4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A737">
            <v>5</v>
          </cell>
          <cell r="B737">
            <v>11</v>
          </cell>
          <cell r="C737">
            <v>5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A738">
            <v>5</v>
          </cell>
          <cell r="B738">
            <v>11</v>
          </cell>
          <cell r="C738">
            <v>6</v>
          </cell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A739">
            <v>5</v>
          </cell>
          <cell r="B739">
            <v>11</v>
          </cell>
          <cell r="C739">
            <v>7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A740">
            <v>5</v>
          </cell>
          <cell r="B740">
            <v>11</v>
          </cell>
          <cell r="C740">
            <v>8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A741">
            <v>5</v>
          </cell>
          <cell r="B741">
            <v>11</v>
          </cell>
          <cell r="C741">
            <v>9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A742">
            <v>5</v>
          </cell>
          <cell r="B742">
            <v>11</v>
          </cell>
          <cell r="C742">
            <v>10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A743">
            <v>5</v>
          </cell>
          <cell r="B743">
            <v>12</v>
          </cell>
          <cell r="C743">
            <v>1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A744">
            <v>5</v>
          </cell>
          <cell r="B744">
            <v>12</v>
          </cell>
          <cell r="C744">
            <v>2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A745">
            <v>5</v>
          </cell>
          <cell r="B745">
            <v>12</v>
          </cell>
          <cell r="C745">
            <v>3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A746">
            <v>5</v>
          </cell>
          <cell r="B746">
            <v>12</v>
          </cell>
          <cell r="C746">
            <v>4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A747">
            <v>5</v>
          </cell>
          <cell r="B747">
            <v>12</v>
          </cell>
          <cell r="C747">
            <v>5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A748">
            <v>5</v>
          </cell>
          <cell r="B748">
            <v>12</v>
          </cell>
          <cell r="C748">
            <v>6</v>
          </cell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A749">
            <v>5</v>
          </cell>
          <cell r="B749">
            <v>12</v>
          </cell>
          <cell r="C749">
            <v>7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A750">
            <v>5</v>
          </cell>
          <cell r="B750">
            <v>12</v>
          </cell>
          <cell r="C750">
            <v>8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A751">
            <v>5</v>
          </cell>
          <cell r="B751">
            <v>12</v>
          </cell>
          <cell r="C751">
            <v>9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A752">
            <v>5</v>
          </cell>
          <cell r="B752">
            <v>12</v>
          </cell>
          <cell r="C752">
            <v>10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A753">
            <v>5</v>
          </cell>
          <cell r="B753">
            <v>13</v>
          </cell>
          <cell r="C753">
            <v>1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A754">
            <v>5</v>
          </cell>
          <cell r="B754">
            <v>13</v>
          </cell>
          <cell r="C754">
            <v>2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A755">
            <v>5</v>
          </cell>
          <cell r="B755">
            <v>13</v>
          </cell>
          <cell r="C755">
            <v>3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A756">
            <v>5</v>
          </cell>
          <cell r="B756">
            <v>13</v>
          </cell>
          <cell r="C756">
            <v>4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A757">
            <v>5</v>
          </cell>
          <cell r="B757">
            <v>13</v>
          </cell>
          <cell r="C757">
            <v>5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A758">
            <v>5</v>
          </cell>
          <cell r="B758">
            <v>13</v>
          </cell>
          <cell r="C758">
            <v>6</v>
          </cell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A759">
            <v>5</v>
          </cell>
          <cell r="B759">
            <v>13</v>
          </cell>
          <cell r="C759">
            <v>7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A760">
            <v>5</v>
          </cell>
          <cell r="B760">
            <v>13</v>
          </cell>
          <cell r="C760">
            <v>8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A761">
            <v>5</v>
          </cell>
          <cell r="B761">
            <v>13</v>
          </cell>
          <cell r="C761">
            <v>9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A762">
            <v>5</v>
          </cell>
          <cell r="B762">
            <v>13</v>
          </cell>
          <cell r="C762">
            <v>10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A763">
            <v>5</v>
          </cell>
          <cell r="B763">
            <v>14</v>
          </cell>
          <cell r="C763">
            <v>1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A764">
            <v>5</v>
          </cell>
          <cell r="B764">
            <v>14</v>
          </cell>
          <cell r="C764">
            <v>2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A765">
            <v>5</v>
          </cell>
          <cell r="B765">
            <v>14</v>
          </cell>
          <cell r="C765">
            <v>3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A766">
            <v>5</v>
          </cell>
          <cell r="B766">
            <v>14</v>
          </cell>
          <cell r="C766">
            <v>4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A767">
            <v>5</v>
          </cell>
          <cell r="B767">
            <v>14</v>
          </cell>
          <cell r="C767">
            <v>5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A768">
            <v>5</v>
          </cell>
          <cell r="B768">
            <v>14</v>
          </cell>
          <cell r="C768">
            <v>6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A769">
            <v>5</v>
          </cell>
          <cell r="B769">
            <v>14</v>
          </cell>
          <cell r="C769">
            <v>7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A770">
            <v>5</v>
          </cell>
          <cell r="B770">
            <v>14</v>
          </cell>
          <cell r="C770">
            <v>8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A771">
            <v>5</v>
          </cell>
          <cell r="B771">
            <v>14</v>
          </cell>
          <cell r="C771">
            <v>9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A772">
            <v>5</v>
          </cell>
          <cell r="B772">
            <v>14</v>
          </cell>
          <cell r="C772">
            <v>10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A773">
            <v>5</v>
          </cell>
          <cell r="B773">
            <v>15</v>
          </cell>
          <cell r="C773">
            <v>1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A774">
            <v>5</v>
          </cell>
          <cell r="B774">
            <v>15</v>
          </cell>
          <cell r="C774">
            <v>2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A775">
            <v>5</v>
          </cell>
          <cell r="B775">
            <v>15</v>
          </cell>
          <cell r="C775">
            <v>3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A776">
            <v>5</v>
          </cell>
          <cell r="B776">
            <v>15</v>
          </cell>
          <cell r="C776">
            <v>4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A777">
            <v>5</v>
          </cell>
          <cell r="B777">
            <v>15</v>
          </cell>
          <cell r="C777">
            <v>5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A778">
            <v>5</v>
          </cell>
          <cell r="B778">
            <v>15</v>
          </cell>
          <cell r="C778">
            <v>6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A779">
            <v>5</v>
          </cell>
          <cell r="B779">
            <v>15</v>
          </cell>
          <cell r="C779">
            <v>7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A780">
            <v>5</v>
          </cell>
          <cell r="B780">
            <v>15</v>
          </cell>
          <cell r="C780">
            <v>8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A781">
            <v>5</v>
          </cell>
          <cell r="B781">
            <v>15</v>
          </cell>
          <cell r="C781">
            <v>9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A782">
            <v>5</v>
          </cell>
          <cell r="B782">
            <v>15</v>
          </cell>
          <cell r="C782">
            <v>10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A798">
            <v>1</v>
          </cell>
          <cell r="B798">
            <v>1</v>
          </cell>
          <cell r="C798">
            <v>1</v>
          </cell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A799">
            <v>1</v>
          </cell>
          <cell r="B799">
            <v>1</v>
          </cell>
          <cell r="C799">
            <v>2</v>
          </cell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A800">
            <v>1</v>
          </cell>
          <cell r="B800">
            <v>1</v>
          </cell>
          <cell r="C800">
            <v>3</v>
          </cell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A801">
            <v>1</v>
          </cell>
          <cell r="B801">
            <v>1</v>
          </cell>
          <cell r="C801">
            <v>4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A802">
            <v>1</v>
          </cell>
          <cell r="B802">
            <v>1</v>
          </cell>
          <cell r="C802">
            <v>5</v>
          </cell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A803">
            <v>1</v>
          </cell>
          <cell r="B803">
            <v>1</v>
          </cell>
          <cell r="C803">
            <v>6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A804">
            <v>1</v>
          </cell>
          <cell r="B804">
            <v>1</v>
          </cell>
          <cell r="C804">
            <v>7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A805">
            <v>1</v>
          </cell>
          <cell r="B805">
            <v>1</v>
          </cell>
          <cell r="C805">
            <v>8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A806">
            <v>1</v>
          </cell>
          <cell r="B806">
            <v>1</v>
          </cell>
          <cell r="C806">
            <v>9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A807">
            <v>1</v>
          </cell>
          <cell r="B807">
            <v>1</v>
          </cell>
          <cell r="C807">
            <v>10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A808">
            <v>1</v>
          </cell>
          <cell r="B808">
            <v>2</v>
          </cell>
          <cell r="C808">
            <v>1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A809">
            <v>1</v>
          </cell>
          <cell r="B809">
            <v>2</v>
          </cell>
          <cell r="C809">
            <v>2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A810">
            <v>1</v>
          </cell>
          <cell r="B810">
            <v>2</v>
          </cell>
          <cell r="C810">
            <v>3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A811">
            <v>1</v>
          </cell>
          <cell r="B811">
            <v>2</v>
          </cell>
          <cell r="C811">
            <v>4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A812">
            <v>1</v>
          </cell>
          <cell r="B812">
            <v>2</v>
          </cell>
          <cell r="C812">
            <v>5</v>
          </cell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A813">
            <v>1</v>
          </cell>
          <cell r="B813">
            <v>2</v>
          </cell>
          <cell r="C813">
            <v>6</v>
          </cell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A814">
            <v>1</v>
          </cell>
          <cell r="B814">
            <v>2</v>
          </cell>
          <cell r="C814">
            <v>7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A815">
            <v>1</v>
          </cell>
          <cell r="B815">
            <v>2</v>
          </cell>
          <cell r="C815">
            <v>8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A816">
            <v>1</v>
          </cell>
          <cell r="B816">
            <v>2</v>
          </cell>
          <cell r="C816">
            <v>9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A817">
            <v>1</v>
          </cell>
          <cell r="B817">
            <v>2</v>
          </cell>
          <cell r="C817">
            <v>10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A818">
            <v>1</v>
          </cell>
          <cell r="B818">
            <v>3</v>
          </cell>
          <cell r="C818">
            <v>1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A819">
            <v>1</v>
          </cell>
          <cell r="B819">
            <v>3</v>
          </cell>
          <cell r="C819">
            <v>2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A820">
            <v>1</v>
          </cell>
          <cell r="B820">
            <v>3</v>
          </cell>
          <cell r="C820">
            <v>3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A821">
            <v>1</v>
          </cell>
          <cell r="B821">
            <v>3</v>
          </cell>
          <cell r="C821">
            <v>4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A822">
            <v>1</v>
          </cell>
          <cell r="B822">
            <v>3</v>
          </cell>
          <cell r="C822">
            <v>5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A823">
            <v>1</v>
          </cell>
          <cell r="B823">
            <v>3</v>
          </cell>
          <cell r="C823">
            <v>6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A824">
            <v>1</v>
          </cell>
          <cell r="B824">
            <v>3</v>
          </cell>
          <cell r="C824">
            <v>7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A825">
            <v>1</v>
          </cell>
          <cell r="B825">
            <v>3</v>
          </cell>
          <cell r="C825">
            <v>8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A826">
            <v>1</v>
          </cell>
          <cell r="B826">
            <v>3</v>
          </cell>
          <cell r="C826">
            <v>9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A827">
            <v>1</v>
          </cell>
          <cell r="B827">
            <v>3</v>
          </cell>
          <cell r="C827">
            <v>10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A828">
            <v>1</v>
          </cell>
          <cell r="B828">
            <v>4</v>
          </cell>
          <cell r="C828">
            <v>1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A829">
            <v>1</v>
          </cell>
          <cell r="B829">
            <v>4</v>
          </cell>
          <cell r="C829">
            <v>2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A830">
            <v>1</v>
          </cell>
          <cell r="B830">
            <v>4</v>
          </cell>
          <cell r="C830">
            <v>3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A831">
            <v>1</v>
          </cell>
          <cell r="B831">
            <v>4</v>
          </cell>
          <cell r="C831">
            <v>4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A832">
            <v>1</v>
          </cell>
          <cell r="B832">
            <v>4</v>
          </cell>
          <cell r="C832">
            <v>5</v>
          </cell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A833">
            <v>1</v>
          </cell>
          <cell r="B833">
            <v>4</v>
          </cell>
          <cell r="C833">
            <v>6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A834">
            <v>1</v>
          </cell>
          <cell r="B834">
            <v>4</v>
          </cell>
          <cell r="C834">
            <v>7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A835">
            <v>1</v>
          </cell>
          <cell r="B835">
            <v>4</v>
          </cell>
          <cell r="C835">
            <v>8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A836">
            <v>1</v>
          </cell>
          <cell r="B836">
            <v>4</v>
          </cell>
          <cell r="C836">
            <v>9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A837">
            <v>1</v>
          </cell>
          <cell r="B837">
            <v>4</v>
          </cell>
          <cell r="C837">
            <v>10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A838">
            <v>1</v>
          </cell>
          <cell r="B838">
            <v>5</v>
          </cell>
          <cell r="C838">
            <v>1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A839">
            <v>1</v>
          </cell>
          <cell r="B839">
            <v>5</v>
          </cell>
          <cell r="C839">
            <v>2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A840">
            <v>1</v>
          </cell>
          <cell r="B840">
            <v>5</v>
          </cell>
          <cell r="C840">
            <v>3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A841">
            <v>1</v>
          </cell>
          <cell r="B841">
            <v>5</v>
          </cell>
          <cell r="C841">
            <v>4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A842">
            <v>1</v>
          </cell>
          <cell r="B842">
            <v>5</v>
          </cell>
          <cell r="C842">
            <v>5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A843">
            <v>1</v>
          </cell>
          <cell r="B843">
            <v>5</v>
          </cell>
          <cell r="C843">
            <v>6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A844">
            <v>1</v>
          </cell>
          <cell r="B844">
            <v>5</v>
          </cell>
          <cell r="C844">
            <v>7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A845">
            <v>1</v>
          </cell>
          <cell r="B845">
            <v>5</v>
          </cell>
          <cell r="C845">
            <v>8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A846">
            <v>1</v>
          </cell>
          <cell r="B846">
            <v>5</v>
          </cell>
          <cell r="C846">
            <v>9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A847">
            <v>1</v>
          </cell>
          <cell r="B847">
            <v>5</v>
          </cell>
          <cell r="C847">
            <v>10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A848">
            <v>1</v>
          </cell>
          <cell r="B848">
            <v>6</v>
          </cell>
          <cell r="C848">
            <v>1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A849">
            <v>1</v>
          </cell>
          <cell r="B849">
            <v>6</v>
          </cell>
          <cell r="C849">
            <v>2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A850">
            <v>1</v>
          </cell>
          <cell r="B850">
            <v>6</v>
          </cell>
          <cell r="C850">
            <v>3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A851">
            <v>1</v>
          </cell>
          <cell r="B851">
            <v>6</v>
          </cell>
          <cell r="C851">
            <v>4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A852">
            <v>1</v>
          </cell>
          <cell r="B852">
            <v>6</v>
          </cell>
          <cell r="C852">
            <v>5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A853">
            <v>1</v>
          </cell>
          <cell r="B853">
            <v>6</v>
          </cell>
          <cell r="C853">
            <v>6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A854">
            <v>1</v>
          </cell>
          <cell r="B854">
            <v>6</v>
          </cell>
          <cell r="C854">
            <v>7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A855">
            <v>1</v>
          </cell>
          <cell r="B855">
            <v>6</v>
          </cell>
          <cell r="C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A856">
            <v>1</v>
          </cell>
          <cell r="B856">
            <v>6</v>
          </cell>
          <cell r="C856">
            <v>9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A857">
            <v>1</v>
          </cell>
          <cell r="B857">
            <v>6</v>
          </cell>
          <cell r="C857">
            <v>10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A858">
            <v>1</v>
          </cell>
          <cell r="B858">
            <v>7</v>
          </cell>
          <cell r="C858">
            <v>1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A859">
            <v>1</v>
          </cell>
          <cell r="B859">
            <v>7</v>
          </cell>
          <cell r="C859">
            <v>2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A860">
            <v>1</v>
          </cell>
          <cell r="B860">
            <v>7</v>
          </cell>
          <cell r="C860">
            <v>3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A861">
            <v>1</v>
          </cell>
          <cell r="B861">
            <v>7</v>
          </cell>
          <cell r="C861">
            <v>4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A862">
            <v>1</v>
          </cell>
          <cell r="B862">
            <v>7</v>
          </cell>
          <cell r="C862">
            <v>5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A863">
            <v>1</v>
          </cell>
          <cell r="B863">
            <v>7</v>
          </cell>
          <cell r="C863">
            <v>6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A864">
            <v>1</v>
          </cell>
          <cell r="B864">
            <v>7</v>
          </cell>
          <cell r="C864">
            <v>7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A865">
            <v>1</v>
          </cell>
          <cell r="B865">
            <v>7</v>
          </cell>
          <cell r="C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A866">
            <v>1</v>
          </cell>
          <cell r="B866">
            <v>7</v>
          </cell>
          <cell r="C866">
            <v>9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A867">
            <v>1</v>
          </cell>
          <cell r="B867">
            <v>7</v>
          </cell>
          <cell r="C867">
            <v>10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A868">
            <v>1</v>
          </cell>
          <cell r="B868">
            <v>8</v>
          </cell>
          <cell r="C868">
            <v>1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A869">
            <v>1</v>
          </cell>
          <cell r="B869">
            <v>8</v>
          </cell>
          <cell r="C869">
            <v>2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A870">
            <v>1</v>
          </cell>
          <cell r="B870">
            <v>8</v>
          </cell>
          <cell r="C870">
            <v>3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A871">
            <v>1</v>
          </cell>
          <cell r="B871">
            <v>8</v>
          </cell>
          <cell r="C871">
            <v>4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A872">
            <v>1</v>
          </cell>
          <cell r="B872">
            <v>8</v>
          </cell>
          <cell r="C872">
            <v>5</v>
          </cell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A873">
            <v>1</v>
          </cell>
          <cell r="B873">
            <v>8</v>
          </cell>
          <cell r="C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A874">
            <v>1</v>
          </cell>
          <cell r="B874">
            <v>8</v>
          </cell>
          <cell r="C874">
            <v>7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A875">
            <v>1</v>
          </cell>
          <cell r="B875">
            <v>8</v>
          </cell>
          <cell r="C875">
            <v>8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A876">
            <v>1</v>
          </cell>
          <cell r="B876">
            <v>8</v>
          </cell>
          <cell r="C876">
            <v>9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A877">
            <v>1</v>
          </cell>
          <cell r="B877">
            <v>8</v>
          </cell>
          <cell r="C877">
            <v>10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A878">
            <v>1</v>
          </cell>
          <cell r="B878">
            <v>9</v>
          </cell>
          <cell r="C878">
            <v>1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A879">
            <v>1</v>
          </cell>
          <cell r="B879">
            <v>9</v>
          </cell>
          <cell r="C879">
            <v>2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A880">
            <v>1</v>
          </cell>
          <cell r="B880">
            <v>9</v>
          </cell>
          <cell r="C880">
            <v>3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A881">
            <v>1</v>
          </cell>
          <cell r="B881">
            <v>9</v>
          </cell>
          <cell r="C881">
            <v>4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A882">
            <v>1</v>
          </cell>
          <cell r="B882">
            <v>9</v>
          </cell>
          <cell r="C882">
            <v>5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A883">
            <v>1</v>
          </cell>
          <cell r="B883">
            <v>9</v>
          </cell>
          <cell r="C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A884">
            <v>1</v>
          </cell>
          <cell r="B884">
            <v>9</v>
          </cell>
          <cell r="C884">
            <v>7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A885">
            <v>1</v>
          </cell>
          <cell r="B885">
            <v>9</v>
          </cell>
          <cell r="C885">
            <v>8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A886">
            <v>1</v>
          </cell>
          <cell r="B886">
            <v>9</v>
          </cell>
          <cell r="C886">
            <v>9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A887">
            <v>1</v>
          </cell>
          <cell r="B887">
            <v>9</v>
          </cell>
          <cell r="C887">
            <v>10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A888">
            <v>1</v>
          </cell>
          <cell r="B888">
            <v>10</v>
          </cell>
          <cell r="C888">
            <v>1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A889">
            <v>1</v>
          </cell>
          <cell r="B889">
            <v>10</v>
          </cell>
          <cell r="C889">
            <v>2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A890">
            <v>1</v>
          </cell>
          <cell r="B890">
            <v>10</v>
          </cell>
          <cell r="C890">
            <v>3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A891">
            <v>1</v>
          </cell>
          <cell r="B891">
            <v>10</v>
          </cell>
          <cell r="C891">
            <v>4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A892">
            <v>1</v>
          </cell>
          <cell r="B892">
            <v>10</v>
          </cell>
          <cell r="C892">
            <v>5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A893">
            <v>1</v>
          </cell>
          <cell r="B893">
            <v>10</v>
          </cell>
          <cell r="C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A894">
            <v>1</v>
          </cell>
          <cell r="B894">
            <v>10</v>
          </cell>
          <cell r="C894">
            <v>7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A895">
            <v>1</v>
          </cell>
          <cell r="B895">
            <v>10</v>
          </cell>
          <cell r="C895">
            <v>8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A896">
            <v>1</v>
          </cell>
          <cell r="B896">
            <v>10</v>
          </cell>
          <cell r="C896">
            <v>9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A897">
            <v>1</v>
          </cell>
          <cell r="B897">
            <v>10</v>
          </cell>
          <cell r="C897">
            <v>10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A898">
            <v>1</v>
          </cell>
          <cell r="B898">
            <v>11</v>
          </cell>
          <cell r="C898">
            <v>1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A899">
            <v>1</v>
          </cell>
          <cell r="B899">
            <v>11</v>
          </cell>
          <cell r="C899">
            <v>2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A900">
            <v>1</v>
          </cell>
          <cell r="B900">
            <v>11</v>
          </cell>
          <cell r="C900">
            <v>3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A901">
            <v>1</v>
          </cell>
          <cell r="B901">
            <v>11</v>
          </cell>
          <cell r="C901">
            <v>4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A902">
            <v>1</v>
          </cell>
          <cell r="B902">
            <v>11</v>
          </cell>
          <cell r="C902">
            <v>5</v>
          </cell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A903">
            <v>1</v>
          </cell>
          <cell r="B903">
            <v>11</v>
          </cell>
          <cell r="C903">
            <v>6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A904">
            <v>1</v>
          </cell>
          <cell r="B904">
            <v>11</v>
          </cell>
          <cell r="C904">
            <v>7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A905">
            <v>1</v>
          </cell>
          <cell r="B905">
            <v>11</v>
          </cell>
          <cell r="C905">
            <v>8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A906">
            <v>1</v>
          </cell>
          <cell r="B906">
            <v>11</v>
          </cell>
          <cell r="C906">
            <v>9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A907">
            <v>1</v>
          </cell>
          <cell r="B907">
            <v>11</v>
          </cell>
          <cell r="C907">
            <v>10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A908">
            <v>1</v>
          </cell>
          <cell r="B908">
            <v>12</v>
          </cell>
          <cell r="C908">
            <v>1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A909">
            <v>1</v>
          </cell>
          <cell r="B909">
            <v>12</v>
          </cell>
          <cell r="C909">
            <v>2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A910">
            <v>1</v>
          </cell>
          <cell r="B910">
            <v>12</v>
          </cell>
          <cell r="C910">
            <v>3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A911">
            <v>1</v>
          </cell>
          <cell r="B911">
            <v>12</v>
          </cell>
          <cell r="C911">
            <v>4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A912">
            <v>1</v>
          </cell>
          <cell r="B912">
            <v>12</v>
          </cell>
          <cell r="C912">
            <v>5</v>
          </cell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A913">
            <v>1</v>
          </cell>
          <cell r="B913">
            <v>12</v>
          </cell>
          <cell r="C913">
            <v>6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A914">
            <v>1</v>
          </cell>
          <cell r="B914">
            <v>12</v>
          </cell>
          <cell r="C914">
            <v>7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A915">
            <v>1</v>
          </cell>
          <cell r="B915">
            <v>12</v>
          </cell>
          <cell r="C915">
            <v>8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A916">
            <v>1</v>
          </cell>
          <cell r="B916">
            <v>12</v>
          </cell>
          <cell r="C916">
            <v>9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A917">
            <v>1</v>
          </cell>
          <cell r="B917">
            <v>12</v>
          </cell>
          <cell r="C917">
            <v>10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A918">
            <v>1</v>
          </cell>
          <cell r="B918">
            <v>13</v>
          </cell>
          <cell r="C918">
            <v>1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A919">
            <v>1</v>
          </cell>
          <cell r="B919">
            <v>13</v>
          </cell>
          <cell r="C919">
            <v>2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A920">
            <v>1</v>
          </cell>
          <cell r="B920">
            <v>13</v>
          </cell>
          <cell r="C920">
            <v>3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A921">
            <v>1</v>
          </cell>
          <cell r="B921">
            <v>13</v>
          </cell>
          <cell r="C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A922">
            <v>1</v>
          </cell>
          <cell r="B922">
            <v>13</v>
          </cell>
          <cell r="C922">
            <v>5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A923">
            <v>1</v>
          </cell>
          <cell r="B923">
            <v>13</v>
          </cell>
          <cell r="C923">
            <v>6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A924">
            <v>1</v>
          </cell>
          <cell r="B924">
            <v>13</v>
          </cell>
          <cell r="C924">
            <v>7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A925">
            <v>1</v>
          </cell>
          <cell r="B925">
            <v>13</v>
          </cell>
          <cell r="C925">
            <v>8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A926">
            <v>1</v>
          </cell>
          <cell r="B926">
            <v>13</v>
          </cell>
          <cell r="C926">
            <v>9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A927">
            <v>1</v>
          </cell>
          <cell r="B927">
            <v>13</v>
          </cell>
          <cell r="C927">
            <v>10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A928">
            <v>1</v>
          </cell>
          <cell r="B928">
            <v>14</v>
          </cell>
          <cell r="C928">
            <v>1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A929">
            <v>1</v>
          </cell>
          <cell r="B929">
            <v>14</v>
          </cell>
          <cell r="C929">
            <v>2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A930">
            <v>1</v>
          </cell>
          <cell r="B930">
            <v>14</v>
          </cell>
          <cell r="C930">
            <v>3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A931">
            <v>1</v>
          </cell>
          <cell r="B931">
            <v>14</v>
          </cell>
          <cell r="C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A932">
            <v>1</v>
          </cell>
          <cell r="B932">
            <v>14</v>
          </cell>
          <cell r="C932">
            <v>5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A933">
            <v>1</v>
          </cell>
          <cell r="B933">
            <v>14</v>
          </cell>
          <cell r="C933">
            <v>6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A934">
            <v>1</v>
          </cell>
          <cell r="B934">
            <v>14</v>
          </cell>
          <cell r="C934">
            <v>7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A935">
            <v>1</v>
          </cell>
          <cell r="B935">
            <v>14</v>
          </cell>
          <cell r="C935">
            <v>8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A936">
            <v>1</v>
          </cell>
          <cell r="B936">
            <v>14</v>
          </cell>
          <cell r="C936">
            <v>9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A937">
            <v>1</v>
          </cell>
          <cell r="B937">
            <v>14</v>
          </cell>
          <cell r="C937">
            <v>10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A938">
            <v>1</v>
          </cell>
          <cell r="B938">
            <v>15</v>
          </cell>
          <cell r="C938">
            <v>1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A939">
            <v>1</v>
          </cell>
          <cell r="B939">
            <v>15</v>
          </cell>
          <cell r="C939">
            <v>2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A940">
            <v>1</v>
          </cell>
          <cell r="B940">
            <v>15</v>
          </cell>
          <cell r="C940">
            <v>3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A941">
            <v>1</v>
          </cell>
          <cell r="B941">
            <v>15</v>
          </cell>
          <cell r="C941">
            <v>4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A942">
            <v>1</v>
          </cell>
          <cell r="B942">
            <v>15</v>
          </cell>
          <cell r="C942">
            <v>5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A943">
            <v>1</v>
          </cell>
          <cell r="B943">
            <v>15</v>
          </cell>
          <cell r="C943">
            <v>6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A944">
            <v>1</v>
          </cell>
          <cell r="B944">
            <v>15</v>
          </cell>
          <cell r="C944">
            <v>7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A945">
            <v>1</v>
          </cell>
          <cell r="B945">
            <v>15</v>
          </cell>
          <cell r="C945">
            <v>8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A946">
            <v>1</v>
          </cell>
          <cell r="B946">
            <v>15</v>
          </cell>
          <cell r="C946">
            <v>9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A947">
            <v>1</v>
          </cell>
          <cell r="B947">
            <v>15</v>
          </cell>
          <cell r="C947">
            <v>10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A948">
            <v>2</v>
          </cell>
          <cell r="B948">
            <v>1</v>
          </cell>
          <cell r="C948">
            <v>1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A949">
            <v>2</v>
          </cell>
          <cell r="B949">
            <v>1</v>
          </cell>
          <cell r="C949">
            <v>2</v>
          </cell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A950">
            <v>2</v>
          </cell>
          <cell r="B950">
            <v>1</v>
          </cell>
          <cell r="C950">
            <v>3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A951">
            <v>2</v>
          </cell>
          <cell r="B951">
            <v>1</v>
          </cell>
          <cell r="C951">
            <v>4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A952">
            <v>2</v>
          </cell>
          <cell r="B952">
            <v>1</v>
          </cell>
          <cell r="C952">
            <v>5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A953">
            <v>2</v>
          </cell>
          <cell r="B953">
            <v>1</v>
          </cell>
          <cell r="C953">
            <v>6</v>
          </cell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A954">
            <v>2</v>
          </cell>
          <cell r="B954">
            <v>1</v>
          </cell>
          <cell r="C954">
            <v>7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A955">
            <v>2</v>
          </cell>
          <cell r="B955">
            <v>1</v>
          </cell>
          <cell r="C955">
            <v>8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A956">
            <v>2</v>
          </cell>
          <cell r="B956">
            <v>1</v>
          </cell>
          <cell r="C956">
            <v>9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A957">
            <v>2</v>
          </cell>
          <cell r="B957">
            <v>1</v>
          </cell>
          <cell r="C957">
            <v>10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A958">
            <v>2</v>
          </cell>
          <cell r="B958">
            <v>2</v>
          </cell>
          <cell r="C958">
            <v>1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A959">
            <v>2</v>
          </cell>
          <cell r="B959">
            <v>2</v>
          </cell>
          <cell r="C959">
            <v>2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A960">
            <v>2</v>
          </cell>
          <cell r="B960">
            <v>2</v>
          </cell>
          <cell r="C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A961">
            <v>2</v>
          </cell>
          <cell r="B961">
            <v>2</v>
          </cell>
          <cell r="C961">
            <v>4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A962">
            <v>2</v>
          </cell>
          <cell r="B962">
            <v>2</v>
          </cell>
          <cell r="C962">
            <v>5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A963">
            <v>2</v>
          </cell>
          <cell r="B963">
            <v>2</v>
          </cell>
          <cell r="C963">
            <v>6</v>
          </cell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A964">
            <v>2</v>
          </cell>
          <cell r="B964">
            <v>2</v>
          </cell>
          <cell r="C964">
            <v>7</v>
          </cell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A965">
            <v>2</v>
          </cell>
          <cell r="B965">
            <v>2</v>
          </cell>
          <cell r="C965">
            <v>8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A966">
            <v>2</v>
          </cell>
          <cell r="B966">
            <v>2</v>
          </cell>
          <cell r="C966">
            <v>9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A967">
            <v>2</v>
          </cell>
          <cell r="B967">
            <v>2</v>
          </cell>
          <cell r="C967">
            <v>10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A968">
            <v>2</v>
          </cell>
          <cell r="B968">
            <v>3</v>
          </cell>
          <cell r="C968">
            <v>1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A969">
            <v>2</v>
          </cell>
          <cell r="B969">
            <v>3</v>
          </cell>
          <cell r="C969">
            <v>2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A970">
            <v>2</v>
          </cell>
          <cell r="B970">
            <v>3</v>
          </cell>
          <cell r="C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A971">
            <v>2</v>
          </cell>
          <cell r="B971">
            <v>3</v>
          </cell>
          <cell r="C971">
            <v>4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A972">
            <v>2</v>
          </cell>
          <cell r="B972">
            <v>3</v>
          </cell>
          <cell r="C972">
            <v>5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A973">
            <v>2</v>
          </cell>
          <cell r="B973">
            <v>3</v>
          </cell>
          <cell r="C973">
            <v>6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A974">
            <v>2</v>
          </cell>
          <cell r="B974">
            <v>3</v>
          </cell>
          <cell r="C974">
            <v>7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A975">
            <v>2</v>
          </cell>
          <cell r="B975">
            <v>3</v>
          </cell>
          <cell r="C975">
            <v>8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A976">
            <v>2</v>
          </cell>
          <cell r="B976">
            <v>3</v>
          </cell>
          <cell r="C976">
            <v>9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A977">
            <v>2</v>
          </cell>
          <cell r="B977">
            <v>3</v>
          </cell>
          <cell r="C977">
            <v>10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A978">
            <v>2</v>
          </cell>
          <cell r="B978">
            <v>4</v>
          </cell>
          <cell r="C978">
            <v>1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A979">
            <v>2</v>
          </cell>
          <cell r="B979">
            <v>4</v>
          </cell>
          <cell r="C979">
            <v>2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A980">
            <v>2</v>
          </cell>
          <cell r="B980">
            <v>4</v>
          </cell>
          <cell r="C980">
            <v>3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A981">
            <v>2</v>
          </cell>
          <cell r="B981">
            <v>4</v>
          </cell>
          <cell r="C981">
            <v>4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A982">
            <v>2</v>
          </cell>
          <cell r="B982">
            <v>4</v>
          </cell>
          <cell r="C982">
            <v>5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A983">
            <v>2</v>
          </cell>
          <cell r="B983">
            <v>4</v>
          </cell>
          <cell r="C983">
            <v>6</v>
          </cell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A984">
            <v>2</v>
          </cell>
          <cell r="B984">
            <v>4</v>
          </cell>
          <cell r="C984">
            <v>7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A985">
            <v>2</v>
          </cell>
          <cell r="B985">
            <v>4</v>
          </cell>
          <cell r="C985">
            <v>8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A986">
            <v>2</v>
          </cell>
          <cell r="B986">
            <v>4</v>
          </cell>
          <cell r="C986">
            <v>9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A987">
            <v>2</v>
          </cell>
          <cell r="B987">
            <v>4</v>
          </cell>
          <cell r="C987">
            <v>10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A988">
            <v>2</v>
          </cell>
          <cell r="B988">
            <v>5</v>
          </cell>
          <cell r="C988">
            <v>1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A989">
            <v>2</v>
          </cell>
          <cell r="B989">
            <v>5</v>
          </cell>
          <cell r="C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A990">
            <v>2</v>
          </cell>
          <cell r="B990">
            <v>5</v>
          </cell>
          <cell r="C990">
            <v>3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A991">
            <v>2</v>
          </cell>
          <cell r="B991">
            <v>5</v>
          </cell>
          <cell r="C991">
            <v>4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A992">
            <v>2</v>
          </cell>
          <cell r="B992">
            <v>5</v>
          </cell>
          <cell r="C992">
            <v>5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A993">
            <v>2</v>
          </cell>
          <cell r="B993">
            <v>5</v>
          </cell>
          <cell r="C993">
            <v>6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A994">
            <v>2</v>
          </cell>
          <cell r="B994">
            <v>5</v>
          </cell>
          <cell r="C994">
            <v>7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A995">
            <v>2</v>
          </cell>
          <cell r="B995">
            <v>5</v>
          </cell>
          <cell r="C995">
            <v>8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A996">
            <v>2</v>
          </cell>
          <cell r="B996">
            <v>5</v>
          </cell>
          <cell r="C996">
            <v>9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A997">
            <v>2</v>
          </cell>
          <cell r="B997">
            <v>5</v>
          </cell>
          <cell r="C997">
            <v>10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A998">
            <v>2</v>
          </cell>
          <cell r="B998">
            <v>6</v>
          </cell>
          <cell r="C998">
            <v>1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A999">
            <v>2</v>
          </cell>
          <cell r="B999">
            <v>6</v>
          </cell>
          <cell r="C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A1000">
            <v>2</v>
          </cell>
          <cell r="B1000">
            <v>6</v>
          </cell>
          <cell r="C1000">
            <v>3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A1001">
            <v>2</v>
          </cell>
          <cell r="B1001">
            <v>6</v>
          </cell>
          <cell r="C1001">
            <v>4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A1002">
            <v>2</v>
          </cell>
          <cell r="B1002">
            <v>6</v>
          </cell>
          <cell r="C1002">
            <v>5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A1003">
            <v>2</v>
          </cell>
          <cell r="B1003">
            <v>6</v>
          </cell>
          <cell r="C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A1004">
            <v>2</v>
          </cell>
          <cell r="B1004">
            <v>6</v>
          </cell>
          <cell r="C1004">
            <v>7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A1005">
            <v>2</v>
          </cell>
          <cell r="B1005">
            <v>6</v>
          </cell>
          <cell r="C1005">
            <v>8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A1006">
            <v>2</v>
          </cell>
          <cell r="B1006">
            <v>6</v>
          </cell>
          <cell r="C1006">
            <v>9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A1007">
            <v>2</v>
          </cell>
          <cell r="B1007">
            <v>6</v>
          </cell>
          <cell r="C1007">
            <v>10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A1008">
            <v>2</v>
          </cell>
          <cell r="B1008">
            <v>7</v>
          </cell>
          <cell r="C1008">
            <v>1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A1009">
            <v>2</v>
          </cell>
          <cell r="B1009">
            <v>7</v>
          </cell>
          <cell r="C1009">
            <v>2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A1010">
            <v>2</v>
          </cell>
          <cell r="B1010">
            <v>7</v>
          </cell>
          <cell r="C1010">
            <v>3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A1011">
            <v>2</v>
          </cell>
          <cell r="B1011">
            <v>7</v>
          </cell>
          <cell r="C1011">
            <v>4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A1012">
            <v>2</v>
          </cell>
          <cell r="B1012">
            <v>7</v>
          </cell>
          <cell r="C1012">
            <v>5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A1013">
            <v>2</v>
          </cell>
          <cell r="B1013">
            <v>7</v>
          </cell>
          <cell r="C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A1014">
            <v>2</v>
          </cell>
          <cell r="B1014">
            <v>7</v>
          </cell>
          <cell r="C1014">
            <v>7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A1015">
            <v>2</v>
          </cell>
          <cell r="B1015">
            <v>7</v>
          </cell>
          <cell r="C1015">
            <v>8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A1016">
            <v>2</v>
          </cell>
          <cell r="B1016">
            <v>7</v>
          </cell>
          <cell r="C1016">
            <v>9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A1017">
            <v>2</v>
          </cell>
          <cell r="B1017">
            <v>7</v>
          </cell>
          <cell r="C1017">
            <v>10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A1018">
            <v>2</v>
          </cell>
          <cell r="B1018">
            <v>8</v>
          </cell>
          <cell r="C1018">
            <v>1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A1019">
            <v>2</v>
          </cell>
          <cell r="B1019">
            <v>8</v>
          </cell>
          <cell r="C1019">
            <v>2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A1020">
            <v>2</v>
          </cell>
          <cell r="B1020">
            <v>8</v>
          </cell>
          <cell r="C1020">
            <v>3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A1021">
            <v>2</v>
          </cell>
          <cell r="B1021">
            <v>8</v>
          </cell>
          <cell r="C1021">
            <v>4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A1022">
            <v>2</v>
          </cell>
          <cell r="B1022">
            <v>8</v>
          </cell>
          <cell r="C1022">
            <v>5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A1023">
            <v>2</v>
          </cell>
          <cell r="B1023">
            <v>8</v>
          </cell>
          <cell r="C1023">
            <v>6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A1024">
            <v>2</v>
          </cell>
          <cell r="B1024">
            <v>8</v>
          </cell>
          <cell r="C1024">
            <v>7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A1025">
            <v>2</v>
          </cell>
          <cell r="B1025">
            <v>8</v>
          </cell>
          <cell r="C1025">
            <v>8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A1026">
            <v>2</v>
          </cell>
          <cell r="B1026">
            <v>8</v>
          </cell>
          <cell r="C1026">
            <v>9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A1027">
            <v>2</v>
          </cell>
          <cell r="B1027">
            <v>8</v>
          </cell>
          <cell r="C1027">
            <v>10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A1028">
            <v>2</v>
          </cell>
          <cell r="B1028">
            <v>9</v>
          </cell>
          <cell r="C1028">
            <v>1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A1029">
            <v>2</v>
          </cell>
          <cell r="B1029">
            <v>9</v>
          </cell>
          <cell r="C1029">
            <v>2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A1030">
            <v>2</v>
          </cell>
          <cell r="B1030">
            <v>9</v>
          </cell>
          <cell r="C1030">
            <v>3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A1031">
            <v>2</v>
          </cell>
          <cell r="B1031">
            <v>9</v>
          </cell>
          <cell r="C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A1032">
            <v>2</v>
          </cell>
          <cell r="B1032">
            <v>9</v>
          </cell>
          <cell r="C1032">
            <v>5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A1033">
            <v>2</v>
          </cell>
          <cell r="B1033">
            <v>9</v>
          </cell>
          <cell r="C1033">
            <v>6</v>
          </cell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A1034">
            <v>2</v>
          </cell>
          <cell r="B1034">
            <v>9</v>
          </cell>
          <cell r="C1034">
            <v>7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A1035">
            <v>2</v>
          </cell>
          <cell r="B1035">
            <v>9</v>
          </cell>
          <cell r="C1035">
            <v>8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A1036">
            <v>2</v>
          </cell>
          <cell r="B1036">
            <v>9</v>
          </cell>
          <cell r="C1036">
            <v>9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A1037">
            <v>2</v>
          </cell>
          <cell r="B1037">
            <v>9</v>
          </cell>
          <cell r="C1037">
            <v>10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A1038">
            <v>2</v>
          </cell>
          <cell r="B1038">
            <v>10</v>
          </cell>
          <cell r="C1038">
            <v>1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A1039">
            <v>2</v>
          </cell>
          <cell r="B1039">
            <v>10</v>
          </cell>
          <cell r="C1039">
            <v>2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A1040">
            <v>2</v>
          </cell>
          <cell r="B1040">
            <v>10</v>
          </cell>
          <cell r="C1040">
            <v>3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A1041">
            <v>2</v>
          </cell>
          <cell r="B1041">
            <v>10</v>
          </cell>
          <cell r="C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A1042">
            <v>2</v>
          </cell>
          <cell r="B1042">
            <v>10</v>
          </cell>
          <cell r="C1042">
            <v>5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A1043">
            <v>2</v>
          </cell>
          <cell r="B1043">
            <v>10</v>
          </cell>
          <cell r="C1043">
            <v>6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A1044">
            <v>2</v>
          </cell>
          <cell r="B1044">
            <v>10</v>
          </cell>
          <cell r="C1044">
            <v>7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A1045">
            <v>2</v>
          </cell>
          <cell r="B1045">
            <v>10</v>
          </cell>
          <cell r="C1045">
            <v>8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A1046">
            <v>2</v>
          </cell>
          <cell r="B1046">
            <v>10</v>
          </cell>
          <cell r="C1046">
            <v>9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A1047">
            <v>2</v>
          </cell>
          <cell r="B1047">
            <v>10</v>
          </cell>
          <cell r="C1047">
            <v>10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A1048">
            <v>2</v>
          </cell>
          <cell r="B1048">
            <v>11</v>
          </cell>
          <cell r="C1048">
            <v>1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A1049">
            <v>2</v>
          </cell>
          <cell r="B1049">
            <v>11</v>
          </cell>
          <cell r="C1049">
            <v>2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A1050">
            <v>2</v>
          </cell>
          <cell r="B1050">
            <v>11</v>
          </cell>
          <cell r="C1050">
            <v>3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A1051">
            <v>2</v>
          </cell>
          <cell r="B1051">
            <v>11</v>
          </cell>
          <cell r="C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A1052">
            <v>2</v>
          </cell>
          <cell r="B1052">
            <v>11</v>
          </cell>
          <cell r="C1052">
            <v>5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A1053">
            <v>2</v>
          </cell>
          <cell r="B1053">
            <v>11</v>
          </cell>
          <cell r="C1053">
            <v>6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A1054">
            <v>2</v>
          </cell>
          <cell r="B1054">
            <v>11</v>
          </cell>
          <cell r="C1054">
            <v>7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A1055">
            <v>2</v>
          </cell>
          <cell r="B1055">
            <v>11</v>
          </cell>
          <cell r="C1055">
            <v>8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A1056">
            <v>2</v>
          </cell>
          <cell r="B1056">
            <v>11</v>
          </cell>
          <cell r="C1056">
            <v>9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A1057">
            <v>2</v>
          </cell>
          <cell r="B1057">
            <v>11</v>
          </cell>
          <cell r="C1057">
            <v>10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A1058">
            <v>2</v>
          </cell>
          <cell r="B1058">
            <v>12</v>
          </cell>
          <cell r="C1058">
            <v>1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A1059">
            <v>2</v>
          </cell>
          <cell r="B1059">
            <v>12</v>
          </cell>
          <cell r="C1059">
            <v>2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A1060">
            <v>2</v>
          </cell>
          <cell r="B1060">
            <v>12</v>
          </cell>
          <cell r="C1060">
            <v>3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A1061">
            <v>2</v>
          </cell>
          <cell r="B1061">
            <v>12</v>
          </cell>
          <cell r="C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A1062">
            <v>2</v>
          </cell>
          <cell r="B1062">
            <v>12</v>
          </cell>
          <cell r="C1062">
            <v>5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A1063">
            <v>2</v>
          </cell>
          <cell r="B1063">
            <v>12</v>
          </cell>
          <cell r="C1063">
            <v>6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A1064">
            <v>2</v>
          </cell>
          <cell r="B1064">
            <v>12</v>
          </cell>
          <cell r="C1064">
            <v>7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A1065">
            <v>2</v>
          </cell>
          <cell r="B1065">
            <v>12</v>
          </cell>
          <cell r="C1065">
            <v>8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A1066">
            <v>2</v>
          </cell>
          <cell r="B1066">
            <v>12</v>
          </cell>
          <cell r="C1066">
            <v>9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A1067">
            <v>2</v>
          </cell>
          <cell r="B1067">
            <v>12</v>
          </cell>
          <cell r="C1067">
            <v>10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A1068">
            <v>2</v>
          </cell>
          <cell r="B1068">
            <v>13</v>
          </cell>
          <cell r="C1068">
            <v>1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A1069">
            <v>2</v>
          </cell>
          <cell r="B1069">
            <v>13</v>
          </cell>
          <cell r="C1069">
            <v>2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A1070">
            <v>2</v>
          </cell>
          <cell r="B1070">
            <v>13</v>
          </cell>
          <cell r="C1070">
            <v>3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A1071">
            <v>2</v>
          </cell>
          <cell r="B1071">
            <v>13</v>
          </cell>
          <cell r="C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A1072">
            <v>2</v>
          </cell>
          <cell r="B1072">
            <v>13</v>
          </cell>
          <cell r="C1072">
            <v>5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A1073">
            <v>2</v>
          </cell>
          <cell r="B1073">
            <v>13</v>
          </cell>
          <cell r="C1073">
            <v>6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A1074">
            <v>2</v>
          </cell>
          <cell r="B1074">
            <v>13</v>
          </cell>
          <cell r="C1074">
            <v>7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A1075">
            <v>2</v>
          </cell>
          <cell r="B1075">
            <v>13</v>
          </cell>
          <cell r="C1075">
            <v>8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A1076">
            <v>2</v>
          </cell>
          <cell r="B1076">
            <v>13</v>
          </cell>
          <cell r="C1076">
            <v>9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A1077">
            <v>2</v>
          </cell>
          <cell r="B1077">
            <v>13</v>
          </cell>
          <cell r="C1077">
            <v>10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A1078">
            <v>2</v>
          </cell>
          <cell r="B1078">
            <v>14</v>
          </cell>
          <cell r="C1078">
            <v>1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A1079">
            <v>2</v>
          </cell>
          <cell r="B1079">
            <v>14</v>
          </cell>
          <cell r="C1079">
            <v>2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A1080">
            <v>2</v>
          </cell>
          <cell r="B1080">
            <v>14</v>
          </cell>
          <cell r="C1080">
            <v>3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A1081">
            <v>2</v>
          </cell>
          <cell r="B1081">
            <v>14</v>
          </cell>
          <cell r="C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A1082">
            <v>2</v>
          </cell>
          <cell r="B1082">
            <v>14</v>
          </cell>
          <cell r="C1082">
            <v>5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A1083">
            <v>2</v>
          </cell>
          <cell r="B1083">
            <v>14</v>
          </cell>
          <cell r="C1083">
            <v>6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A1084">
            <v>2</v>
          </cell>
          <cell r="B1084">
            <v>14</v>
          </cell>
          <cell r="C1084">
            <v>7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A1085">
            <v>2</v>
          </cell>
          <cell r="B1085">
            <v>14</v>
          </cell>
          <cell r="C1085">
            <v>8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A1086">
            <v>2</v>
          </cell>
          <cell r="B1086">
            <v>14</v>
          </cell>
          <cell r="C1086">
            <v>9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A1087">
            <v>2</v>
          </cell>
          <cell r="B1087">
            <v>14</v>
          </cell>
          <cell r="C1087">
            <v>10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A1088">
            <v>2</v>
          </cell>
          <cell r="B1088">
            <v>15</v>
          </cell>
          <cell r="C1088">
            <v>1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A1089">
            <v>2</v>
          </cell>
          <cell r="B1089">
            <v>15</v>
          </cell>
          <cell r="C1089">
            <v>2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A1090">
            <v>2</v>
          </cell>
          <cell r="B1090">
            <v>15</v>
          </cell>
          <cell r="C1090">
            <v>3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A1091">
            <v>2</v>
          </cell>
          <cell r="B1091">
            <v>15</v>
          </cell>
          <cell r="C1091">
            <v>4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A1092">
            <v>2</v>
          </cell>
          <cell r="B1092">
            <v>15</v>
          </cell>
          <cell r="C1092">
            <v>5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A1093">
            <v>2</v>
          </cell>
          <cell r="B1093">
            <v>15</v>
          </cell>
          <cell r="C1093">
            <v>6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A1094">
            <v>2</v>
          </cell>
          <cell r="B1094">
            <v>15</v>
          </cell>
          <cell r="C1094">
            <v>7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A1095">
            <v>2</v>
          </cell>
          <cell r="B1095">
            <v>15</v>
          </cell>
          <cell r="C1095">
            <v>8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A1096">
            <v>2</v>
          </cell>
          <cell r="B1096">
            <v>15</v>
          </cell>
          <cell r="C1096">
            <v>9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A1097">
            <v>2</v>
          </cell>
          <cell r="B1097">
            <v>15</v>
          </cell>
          <cell r="C1097">
            <v>10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A1098">
            <v>3</v>
          </cell>
          <cell r="B1098">
            <v>1</v>
          </cell>
          <cell r="C1098">
            <v>1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A1099">
            <v>3</v>
          </cell>
          <cell r="B1099">
            <v>1</v>
          </cell>
          <cell r="C1099">
            <v>2</v>
          </cell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A1100">
            <v>3</v>
          </cell>
          <cell r="B1100">
            <v>1</v>
          </cell>
          <cell r="C1100">
            <v>3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A1101">
            <v>3</v>
          </cell>
          <cell r="B1101">
            <v>1</v>
          </cell>
          <cell r="C1101">
            <v>4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A1102">
            <v>3</v>
          </cell>
          <cell r="B1102">
            <v>1</v>
          </cell>
          <cell r="C1102">
            <v>5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A1103">
            <v>3</v>
          </cell>
          <cell r="B1103">
            <v>1</v>
          </cell>
          <cell r="C1103">
            <v>6</v>
          </cell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A1104">
            <v>3</v>
          </cell>
          <cell r="B1104">
            <v>1</v>
          </cell>
          <cell r="C1104">
            <v>7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A1105">
            <v>3</v>
          </cell>
          <cell r="B1105">
            <v>1</v>
          </cell>
          <cell r="C1105">
            <v>8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A1106">
            <v>3</v>
          </cell>
          <cell r="B1106">
            <v>1</v>
          </cell>
          <cell r="C1106">
            <v>9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A1107">
            <v>3</v>
          </cell>
          <cell r="B1107">
            <v>1</v>
          </cell>
          <cell r="C1107">
            <v>10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A1108">
            <v>3</v>
          </cell>
          <cell r="B1108">
            <v>2</v>
          </cell>
          <cell r="C1108">
            <v>1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A1109">
            <v>3</v>
          </cell>
          <cell r="B1109">
            <v>2</v>
          </cell>
          <cell r="C1109">
            <v>2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A1110">
            <v>3</v>
          </cell>
          <cell r="B1110">
            <v>2</v>
          </cell>
          <cell r="C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A1111">
            <v>3</v>
          </cell>
          <cell r="B1111">
            <v>2</v>
          </cell>
          <cell r="C1111">
            <v>4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A1112">
            <v>3</v>
          </cell>
          <cell r="B1112">
            <v>2</v>
          </cell>
          <cell r="C1112">
            <v>5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A1113">
            <v>3</v>
          </cell>
          <cell r="B1113">
            <v>2</v>
          </cell>
          <cell r="C1113">
            <v>6</v>
          </cell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A1114">
            <v>3</v>
          </cell>
          <cell r="B1114">
            <v>2</v>
          </cell>
          <cell r="C1114">
            <v>7</v>
          </cell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A1115">
            <v>3</v>
          </cell>
          <cell r="B1115">
            <v>2</v>
          </cell>
          <cell r="C1115">
            <v>8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A1116">
            <v>3</v>
          </cell>
          <cell r="B1116">
            <v>2</v>
          </cell>
          <cell r="C1116">
            <v>9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A1117">
            <v>3</v>
          </cell>
          <cell r="B1117">
            <v>2</v>
          </cell>
          <cell r="C1117">
            <v>10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A1118">
            <v>3</v>
          </cell>
          <cell r="B1118">
            <v>3</v>
          </cell>
          <cell r="C1118">
            <v>1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A1119">
            <v>3</v>
          </cell>
          <cell r="B1119">
            <v>3</v>
          </cell>
          <cell r="C1119">
            <v>2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A1120">
            <v>3</v>
          </cell>
          <cell r="B1120">
            <v>3</v>
          </cell>
          <cell r="C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A1121">
            <v>3</v>
          </cell>
          <cell r="B1121">
            <v>3</v>
          </cell>
          <cell r="C1121">
            <v>4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A1122">
            <v>3</v>
          </cell>
          <cell r="B1122">
            <v>3</v>
          </cell>
          <cell r="C1122">
            <v>5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A1123">
            <v>3</v>
          </cell>
          <cell r="B1123">
            <v>3</v>
          </cell>
          <cell r="C1123">
            <v>6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A1124">
            <v>3</v>
          </cell>
          <cell r="B1124">
            <v>3</v>
          </cell>
          <cell r="C1124">
            <v>7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A1125">
            <v>3</v>
          </cell>
          <cell r="B1125">
            <v>3</v>
          </cell>
          <cell r="C1125">
            <v>8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A1126">
            <v>3</v>
          </cell>
          <cell r="B1126">
            <v>3</v>
          </cell>
          <cell r="C1126">
            <v>9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A1127">
            <v>3</v>
          </cell>
          <cell r="B1127">
            <v>3</v>
          </cell>
          <cell r="C1127">
            <v>10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A1128">
            <v>3</v>
          </cell>
          <cell r="B1128">
            <v>4</v>
          </cell>
          <cell r="C1128">
            <v>1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A1129">
            <v>3</v>
          </cell>
          <cell r="B1129">
            <v>4</v>
          </cell>
          <cell r="C1129">
            <v>2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A1130">
            <v>3</v>
          </cell>
          <cell r="B1130">
            <v>4</v>
          </cell>
          <cell r="C1130">
            <v>3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A1131">
            <v>3</v>
          </cell>
          <cell r="B1131">
            <v>4</v>
          </cell>
          <cell r="C1131">
            <v>4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A1132">
            <v>3</v>
          </cell>
          <cell r="B1132">
            <v>4</v>
          </cell>
          <cell r="C1132">
            <v>5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A1133">
            <v>3</v>
          </cell>
          <cell r="B1133">
            <v>4</v>
          </cell>
          <cell r="C1133">
            <v>6</v>
          </cell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A1134">
            <v>3</v>
          </cell>
          <cell r="B1134">
            <v>4</v>
          </cell>
          <cell r="C1134">
            <v>7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A1135">
            <v>3</v>
          </cell>
          <cell r="B1135">
            <v>4</v>
          </cell>
          <cell r="C1135">
            <v>8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A1136">
            <v>3</v>
          </cell>
          <cell r="B1136">
            <v>4</v>
          </cell>
          <cell r="C1136">
            <v>9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A1137">
            <v>3</v>
          </cell>
          <cell r="B1137">
            <v>4</v>
          </cell>
          <cell r="C1137">
            <v>10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A1138">
            <v>3</v>
          </cell>
          <cell r="B1138">
            <v>5</v>
          </cell>
          <cell r="C1138">
            <v>1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A1139">
            <v>3</v>
          </cell>
          <cell r="B1139">
            <v>5</v>
          </cell>
          <cell r="C1139">
            <v>2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A1140">
            <v>3</v>
          </cell>
          <cell r="B1140">
            <v>5</v>
          </cell>
          <cell r="C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A1141">
            <v>3</v>
          </cell>
          <cell r="B1141">
            <v>5</v>
          </cell>
          <cell r="C1141">
            <v>4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A1142">
            <v>3</v>
          </cell>
          <cell r="B1142">
            <v>5</v>
          </cell>
          <cell r="C1142">
            <v>5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A1143">
            <v>3</v>
          </cell>
          <cell r="B1143">
            <v>5</v>
          </cell>
          <cell r="C1143">
            <v>6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A1144">
            <v>3</v>
          </cell>
          <cell r="B1144">
            <v>5</v>
          </cell>
          <cell r="C1144">
            <v>7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A1145">
            <v>3</v>
          </cell>
          <cell r="B1145">
            <v>5</v>
          </cell>
          <cell r="C1145">
            <v>8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A1146">
            <v>3</v>
          </cell>
          <cell r="B1146">
            <v>5</v>
          </cell>
          <cell r="C1146">
            <v>9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A1147">
            <v>3</v>
          </cell>
          <cell r="B1147">
            <v>5</v>
          </cell>
          <cell r="C1147">
            <v>10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A1148">
            <v>3</v>
          </cell>
          <cell r="B1148">
            <v>6</v>
          </cell>
          <cell r="C1148">
            <v>1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A1149">
            <v>3</v>
          </cell>
          <cell r="B1149">
            <v>6</v>
          </cell>
          <cell r="C1149">
            <v>2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A1150">
            <v>3</v>
          </cell>
          <cell r="B1150">
            <v>6</v>
          </cell>
          <cell r="C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A1151">
            <v>3</v>
          </cell>
          <cell r="B1151">
            <v>6</v>
          </cell>
          <cell r="C1151">
            <v>4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A1152">
            <v>3</v>
          </cell>
          <cell r="B1152">
            <v>6</v>
          </cell>
          <cell r="C1152">
            <v>5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A1153">
            <v>3</v>
          </cell>
          <cell r="B1153">
            <v>6</v>
          </cell>
          <cell r="C1153">
            <v>6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A1154">
            <v>3</v>
          </cell>
          <cell r="B1154">
            <v>6</v>
          </cell>
          <cell r="C1154">
            <v>7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A1155">
            <v>3</v>
          </cell>
          <cell r="B1155">
            <v>6</v>
          </cell>
          <cell r="C1155">
            <v>8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A1156">
            <v>3</v>
          </cell>
          <cell r="B1156">
            <v>6</v>
          </cell>
          <cell r="C1156">
            <v>9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A1157">
            <v>3</v>
          </cell>
          <cell r="B1157">
            <v>6</v>
          </cell>
          <cell r="C1157">
            <v>10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A1158">
            <v>3</v>
          </cell>
          <cell r="B1158">
            <v>7</v>
          </cell>
          <cell r="C1158">
            <v>1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A1159">
            <v>3</v>
          </cell>
          <cell r="B1159">
            <v>7</v>
          </cell>
          <cell r="C1159">
            <v>2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A1160">
            <v>3</v>
          </cell>
          <cell r="B1160">
            <v>7</v>
          </cell>
          <cell r="C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A1161">
            <v>3</v>
          </cell>
          <cell r="B1161">
            <v>7</v>
          </cell>
          <cell r="C1161">
            <v>4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A1162">
            <v>3</v>
          </cell>
          <cell r="B1162">
            <v>7</v>
          </cell>
          <cell r="C1162">
            <v>5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A1163">
            <v>3</v>
          </cell>
          <cell r="B1163">
            <v>7</v>
          </cell>
          <cell r="C1163">
            <v>6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A1164">
            <v>3</v>
          </cell>
          <cell r="B1164">
            <v>7</v>
          </cell>
          <cell r="C1164">
            <v>7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A1165">
            <v>3</v>
          </cell>
          <cell r="B1165">
            <v>7</v>
          </cell>
          <cell r="C1165">
            <v>8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A1166">
            <v>3</v>
          </cell>
          <cell r="B1166">
            <v>7</v>
          </cell>
          <cell r="C1166">
            <v>9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A1167">
            <v>3</v>
          </cell>
          <cell r="B1167">
            <v>7</v>
          </cell>
          <cell r="C1167">
            <v>10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A1168">
            <v>3</v>
          </cell>
          <cell r="B1168">
            <v>8</v>
          </cell>
          <cell r="C1168">
            <v>1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A1169">
            <v>3</v>
          </cell>
          <cell r="B1169">
            <v>8</v>
          </cell>
          <cell r="C1169">
            <v>2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A1170">
            <v>3</v>
          </cell>
          <cell r="B1170">
            <v>8</v>
          </cell>
          <cell r="C1170">
            <v>3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A1171">
            <v>3</v>
          </cell>
          <cell r="B1171">
            <v>8</v>
          </cell>
          <cell r="C1171">
            <v>4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A1172">
            <v>3</v>
          </cell>
          <cell r="B1172">
            <v>8</v>
          </cell>
          <cell r="C1172">
            <v>5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A1173">
            <v>3</v>
          </cell>
          <cell r="B1173">
            <v>8</v>
          </cell>
          <cell r="C1173">
            <v>6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A1174">
            <v>3</v>
          </cell>
          <cell r="B1174">
            <v>8</v>
          </cell>
          <cell r="C1174">
            <v>7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A1175">
            <v>3</v>
          </cell>
          <cell r="B1175">
            <v>8</v>
          </cell>
          <cell r="C1175">
            <v>8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A1176">
            <v>3</v>
          </cell>
          <cell r="B1176">
            <v>8</v>
          </cell>
          <cell r="C1176">
            <v>9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A1177">
            <v>3</v>
          </cell>
          <cell r="B1177">
            <v>8</v>
          </cell>
          <cell r="C1177">
            <v>10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A1178">
            <v>3</v>
          </cell>
          <cell r="B1178">
            <v>9</v>
          </cell>
          <cell r="C1178">
            <v>1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A1179">
            <v>3</v>
          </cell>
          <cell r="B1179">
            <v>9</v>
          </cell>
          <cell r="C1179">
            <v>2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A1180">
            <v>3</v>
          </cell>
          <cell r="B1180">
            <v>9</v>
          </cell>
          <cell r="C1180">
            <v>3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A1181">
            <v>3</v>
          </cell>
          <cell r="B1181">
            <v>9</v>
          </cell>
          <cell r="C1181">
            <v>4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A1182">
            <v>3</v>
          </cell>
          <cell r="B1182">
            <v>9</v>
          </cell>
          <cell r="C1182">
            <v>5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A1183">
            <v>3</v>
          </cell>
          <cell r="B1183">
            <v>9</v>
          </cell>
          <cell r="C1183">
            <v>6</v>
          </cell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A1184">
            <v>3</v>
          </cell>
          <cell r="B1184">
            <v>9</v>
          </cell>
          <cell r="C1184">
            <v>7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A1185">
            <v>3</v>
          </cell>
          <cell r="B1185">
            <v>9</v>
          </cell>
          <cell r="C1185">
            <v>8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A1186">
            <v>3</v>
          </cell>
          <cell r="B1186">
            <v>9</v>
          </cell>
          <cell r="C1186">
            <v>9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A1187">
            <v>3</v>
          </cell>
          <cell r="B1187">
            <v>9</v>
          </cell>
          <cell r="C1187">
            <v>10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A1188">
            <v>3</v>
          </cell>
          <cell r="B1188">
            <v>10</v>
          </cell>
          <cell r="C1188">
            <v>1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A1189">
            <v>3</v>
          </cell>
          <cell r="B1189">
            <v>10</v>
          </cell>
          <cell r="C1189">
            <v>2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A1190">
            <v>3</v>
          </cell>
          <cell r="B1190">
            <v>10</v>
          </cell>
          <cell r="C1190">
            <v>3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A1191">
            <v>3</v>
          </cell>
          <cell r="B1191">
            <v>10</v>
          </cell>
          <cell r="C1191">
            <v>4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A1192">
            <v>3</v>
          </cell>
          <cell r="B1192">
            <v>10</v>
          </cell>
          <cell r="C1192">
            <v>5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A1193">
            <v>3</v>
          </cell>
          <cell r="B1193">
            <v>10</v>
          </cell>
          <cell r="C1193">
            <v>6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A1194">
            <v>3</v>
          </cell>
          <cell r="B1194">
            <v>10</v>
          </cell>
          <cell r="C1194">
            <v>7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A1195">
            <v>3</v>
          </cell>
          <cell r="B1195">
            <v>10</v>
          </cell>
          <cell r="C1195">
            <v>8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A1196">
            <v>3</v>
          </cell>
          <cell r="B1196">
            <v>10</v>
          </cell>
          <cell r="C1196">
            <v>9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A1197">
            <v>3</v>
          </cell>
          <cell r="B1197">
            <v>10</v>
          </cell>
          <cell r="C1197">
            <v>10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A1198">
            <v>3</v>
          </cell>
          <cell r="B1198">
            <v>11</v>
          </cell>
          <cell r="C1198">
            <v>1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A1199">
            <v>3</v>
          </cell>
          <cell r="B1199">
            <v>11</v>
          </cell>
          <cell r="C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A1200">
            <v>3</v>
          </cell>
          <cell r="B1200">
            <v>11</v>
          </cell>
          <cell r="C1200">
            <v>3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A1201">
            <v>3</v>
          </cell>
          <cell r="B1201">
            <v>11</v>
          </cell>
          <cell r="C1201">
            <v>4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A1202">
            <v>3</v>
          </cell>
          <cell r="B1202">
            <v>11</v>
          </cell>
          <cell r="C1202">
            <v>5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A1203">
            <v>3</v>
          </cell>
          <cell r="B1203">
            <v>11</v>
          </cell>
          <cell r="C1203">
            <v>6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A1204">
            <v>3</v>
          </cell>
          <cell r="B1204">
            <v>11</v>
          </cell>
          <cell r="C1204">
            <v>7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A1205">
            <v>3</v>
          </cell>
          <cell r="B1205">
            <v>11</v>
          </cell>
          <cell r="C1205">
            <v>8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A1206">
            <v>3</v>
          </cell>
          <cell r="B1206">
            <v>11</v>
          </cell>
          <cell r="C1206">
            <v>9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A1207">
            <v>3</v>
          </cell>
          <cell r="B1207">
            <v>11</v>
          </cell>
          <cell r="C1207">
            <v>10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A1208">
            <v>3</v>
          </cell>
          <cell r="B1208">
            <v>12</v>
          </cell>
          <cell r="C1208">
            <v>1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A1209">
            <v>3</v>
          </cell>
          <cell r="B1209">
            <v>12</v>
          </cell>
          <cell r="C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A1210">
            <v>3</v>
          </cell>
          <cell r="B1210">
            <v>12</v>
          </cell>
          <cell r="C1210">
            <v>3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A1211">
            <v>3</v>
          </cell>
          <cell r="B1211">
            <v>12</v>
          </cell>
          <cell r="C1211">
            <v>4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A1212">
            <v>3</v>
          </cell>
          <cell r="B1212">
            <v>12</v>
          </cell>
          <cell r="C1212">
            <v>5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A1213">
            <v>3</v>
          </cell>
          <cell r="B1213">
            <v>12</v>
          </cell>
          <cell r="C1213">
            <v>6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A1214">
            <v>3</v>
          </cell>
          <cell r="B1214">
            <v>12</v>
          </cell>
          <cell r="C1214">
            <v>7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A1215">
            <v>3</v>
          </cell>
          <cell r="B1215">
            <v>12</v>
          </cell>
          <cell r="C1215">
            <v>8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A1216">
            <v>3</v>
          </cell>
          <cell r="B1216">
            <v>12</v>
          </cell>
          <cell r="C1216">
            <v>9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A1217">
            <v>3</v>
          </cell>
          <cell r="B1217">
            <v>12</v>
          </cell>
          <cell r="C1217">
            <v>10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A1218">
            <v>3</v>
          </cell>
          <cell r="B1218">
            <v>13</v>
          </cell>
          <cell r="C1218">
            <v>1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A1219">
            <v>3</v>
          </cell>
          <cell r="B1219">
            <v>13</v>
          </cell>
          <cell r="C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A1220">
            <v>3</v>
          </cell>
          <cell r="B1220">
            <v>13</v>
          </cell>
          <cell r="C1220">
            <v>3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A1221">
            <v>3</v>
          </cell>
          <cell r="B1221">
            <v>13</v>
          </cell>
          <cell r="C1221">
            <v>4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A1222">
            <v>3</v>
          </cell>
          <cell r="B1222">
            <v>13</v>
          </cell>
          <cell r="C1222">
            <v>5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A1223">
            <v>3</v>
          </cell>
          <cell r="B1223">
            <v>13</v>
          </cell>
          <cell r="C1223">
            <v>6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A1224">
            <v>3</v>
          </cell>
          <cell r="B1224">
            <v>13</v>
          </cell>
          <cell r="C1224">
            <v>7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A1225">
            <v>3</v>
          </cell>
          <cell r="B1225">
            <v>13</v>
          </cell>
          <cell r="C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A1226">
            <v>3</v>
          </cell>
          <cell r="B1226">
            <v>13</v>
          </cell>
          <cell r="C1226">
            <v>9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A1227">
            <v>3</v>
          </cell>
          <cell r="B1227">
            <v>13</v>
          </cell>
          <cell r="C1227">
            <v>10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A1228">
            <v>3</v>
          </cell>
          <cell r="B1228">
            <v>14</v>
          </cell>
          <cell r="C1228">
            <v>1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A1229">
            <v>3</v>
          </cell>
          <cell r="B1229">
            <v>14</v>
          </cell>
          <cell r="C1229">
            <v>2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A1230">
            <v>3</v>
          </cell>
          <cell r="B1230">
            <v>14</v>
          </cell>
          <cell r="C1230">
            <v>3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A1231">
            <v>3</v>
          </cell>
          <cell r="B1231">
            <v>14</v>
          </cell>
          <cell r="C1231">
            <v>4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A1232">
            <v>3</v>
          </cell>
          <cell r="B1232">
            <v>14</v>
          </cell>
          <cell r="C1232">
            <v>5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A1233">
            <v>3</v>
          </cell>
          <cell r="B1233">
            <v>14</v>
          </cell>
          <cell r="C1233">
            <v>6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A1234">
            <v>3</v>
          </cell>
          <cell r="B1234">
            <v>14</v>
          </cell>
          <cell r="C1234">
            <v>7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A1235">
            <v>3</v>
          </cell>
          <cell r="B1235">
            <v>14</v>
          </cell>
          <cell r="C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A1236">
            <v>3</v>
          </cell>
          <cell r="B1236">
            <v>14</v>
          </cell>
          <cell r="C1236">
            <v>9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A1237">
            <v>3</v>
          </cell>
          <cell r="B1237">
            <v>14</v>
          </cell>
          <cell r="C1237">
            <v>10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A1238">
            <v>3</v>
          </cell>
          <cell r="B1238">
            <v>15</v>
          </cell>
          <cell r="C1238">
            <v>1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A1239">
            <v>3</v>
          </cell>
          <cell r="B1239">
            <v>15</v>
          </cell>
          <cell r="C1239">
            <v>2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A1240">
            <v>3</v>
          </cell>
          <cell r="B1240">
            <v>15</v>
          </cell>
          <cell r="C1240">
            <v>3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A1241">
            <v>3</v>
          </cell>
          <cell r="B1241">
            <v>15</v>
          </cell>
          <cell r="C1241">
            <v>4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A1242">
            <v>3</v>
          </cell>
          <cell r="B1242">
            <v>15</v>
          </cell>
          <cell r="C1242">
            <v>5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A1243">
            <v>3</v>
          </cell>
          <cell r="B1243">
            <v>15</v>
          </cell>
          <cell r="C1243">
            <v>6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A1244">
            <v>3</v>
          </cell>
          <cell r="B1244">
            <v>15</v>
          </cell>
          <cell r="C1244">
            <v>7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A1245">
            <v>3</v>
          </cell>
          <cell r="B1245">
            <v>15</v>
          </cell>
          <cell r="C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A1246">
            <v>3</v>
          </cell>
          <cell r="B1246">
            <v>15</v>
          </cell>
          <cell r="C1246">
            <v>9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A1247">
            <v>3</v>
          </cell>
          <cell r="B1247">
            <v>15</v>
          </cell>
          <cell r="C1247">
            <v>10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A1248">
            <v>4</v>
          </cell>
          <cell r="B1248">
            <v>1</v>
          </cell>
          <cell r="C1248">
            <v>1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A1249">
            <v>4</v>
          </cell>
          <cell r="B1249">
            <v>1</v>
          </cell>
          <cell r="C1249">
            <v>2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A1250">
            <v>4</v>
          </cell>
          <cell r="B1250">
            <v>1</v>
          </cell>
          <cell r="C1250">
            <v>3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A1251">
            <v>4</v>
          </cell>
          <cell r="B1251">
            <v>1</v>
          </cell>
          <cell r="C1251">
            <v>4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A1252">
            <v>4</v>
          </cell>
          <cell r="B1252">
            <v>1</v>
          </cell>
          <cell r="C1252">
            <v>5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A1253">
            <v>4</v>
          </cell>
          <cell r="B1253">
            <v>1</v>
          </cell>
          <cell r="C1253">
            <v>6</v>
          </cell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A1254">
            <v>4</v>
          </cell>
          <cell r="B1254">
            <v>1</v>
          </cell>
          <cell r="C1254">
            <v>7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A1255">
            <v>4</v>
          </cell>
          <cell r="B1255">
            <v>1</v>
          </cell>
          <cell r="C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A1256">
            <v>4</v>
          </cell>
          <cell r="B1256">
            <v>1</v>
          </cell>
          <cell r="C1256">
            <v>9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A1257">
            <v>4</v>
          </cell>
          <cell r="B1257">
            <v>1</v>
          </cell>
          <cell r="C1257">
            <v>10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A1258">
            <v>4</v>
          </cell>
          <cell r="B1258">
            <v>2</v>
          </cell>
          <cell r="C1258">
            <v>1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A1259">
            <v>4</v>
          </cell>
          <cell r="B1259">
            <v>2</v>
          </cell>
          <cell r="C1259">
            <v>2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A1260">
            <v>4</v>
          </cell>
          <cell r="B1260">
            <v>2</v>
          </cell>
          <cell r="C1260">
            <v>3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A1261">
            <v>4</v>
          </cell>
          <cell r="B1261">
            <v>2</v>
          </cell>
          <cell r="C1261">
            <v>4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A1262">
            <v>4</v>
          </cell>
          <cell r="B1262">
            <v>2</v>
          </cell>
          <cell r="C1262">
            <v>5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A1263">
            <v>4</v>
          </cell>
          <cell r="B1263">
            <v>2</v>
          </cell>
          <cell r="C1263">
            <v>6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A1264">
            <v>4</v>
          </cell>
          <cell r="B1264">
            <v>2</v>
          </cell>
          <cell r="C1264">
            <v>7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A1265">
            <v>4</v>
          </cell>
          <cell r="B1265">
            <v>2</v>
          </cell>
          <cell r="C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A1266">
            <v>4</v>
          </cell>
          <cell r="B1266">
            <v>2</v>
          </cell>
          <cell r="C1266">
            <v>9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A1267">
            <v>4</v>
          </cell>
          <cell r="B1267">
            <v>2</v>
          </cell>
          <cell r="C1267">
            <v>10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A1268">
            <v>4</v>
          </cell>
          <cell r="B1268">
            <v>3</v>
          </cell>
          <cell r="C1268">
            <v>1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A1269">
            <v>4</v>
          </cell>
          <cell r="B1269">
            <v>3</v>
          </cell>
          <cell r="C1269">
            <v>2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A1270">
            <v>4</v>
          </cell>
          <cell r="B1270">
            <v>3</v>
          </cell>
          <cell r="C1270">
            <v>3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A1271">
            <v>4</v>
          </cell>
          <cell r="B1271">
            <v>3</v>
          </cell>
          <cell r="C1271">
            <v>4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A1272">
            <v>4</v>
          </cell>
          <cell r="B1272">
            <v>3</v>
          </cell>
          <cell r="C1272">
            <v>5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A1273">
            <v>4</v>
          </cell>
          <cell r="B1273">
            <v>3</v>
          </cell>
          <cell r="C1273">
            <v>6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A1274">
            <v>4</v>
          </cell>
          <cell r="B1274">
            <v>3</v>
          </cell>
          <cell r="C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A1275">
            <v>4</v>
          </cell>
          <cell r="B1275">
            <v>3</v>
          </cell>
          <cell r="C1275">
            <v>8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A1276">
            <v>4</v>
          </cell>
          <cell r="B1276">
            <v>3</v>
          </cell>
          <cell r="C1276">
            <v>9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A1277">
            <v>4</v>
          </cell>
          <cell r="B1277">
            <v>3</v>
          </cell>
          <cell r="C1277">
            <v>10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A1278">
            <v>4</v>
          </cell>
          <cell r="B1278">
            <v>4</v>
          </cell>
          <cell r="C1278">
            <v>1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A1279">
            <v>4</v>
          </cell>
          <cell r="B1279">
            <v>4</v>
          </cell>
          <cell r="C1279">
            <v>2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A1280">
            <v>4</v>
          </cell>
          <cell r="B1280">
            <v>4</v>
          </cell>
          <cell r="C1280">
            <v>3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A1281">
            <v>4</v>
          </cell>
          <cell r="B1281">
            <v>4</v>
          </cell>
          <cell r="C1281">
            <v>4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A1282">
            <v>4</v>
          </cell>
          <cell r="B1282">
            <v>4</v>
          </cell>
          <cell r="C1282">
            <v>5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A1283">
            <v>4</v>
          </cell>
          <cell r="B1283">
            <v>4</v>
          </cell>
          <cell r="C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A1284">
            <v>4</v>
          </cell>
          <cell r="B1284">
            <v>4</v>
          </cell>
          <cell r="C1284">
            <v>7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A1285">
            <v>4</v>
          </cell>
          <cell r="B1285">
            <v>4</v>
          </cell>
          <cell r="C1285">
            <v>8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A1286">
            <v>4</v>
          </cell>
          <cell r="B1286">
            <v>4</v>
          </cell>
          <cell r="C1286">
            <v>9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A1287">
            <v>4</v>
          </cell>
          <cell r="B1287">
            <v>4</v>
          </cell>
          <cell r="C1287">
            <v>10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A1288">
            <v>4</v>
          </cell>
          <cell r="B1288">
            <v>5</v>
          </cell>
          <cell r="C1288">
            <v>1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A1289">
            <v>4</v>
          </cell>
          <cell r="B1289">
            <v>5</v>
          </cell>
          <cell r="C1289">
            <v>2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A1290">
            <v>4</v>
          </cell>
          <cell r="B1290">
            <v>5</v>
          </cell>
          <cell r="C1290">
            <v>3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A1291">
            <v>4</v>
          </cell>
          <cell r="B1291">
            <v>5</v>
          </cell>
          <cell r="C1291">
            <v>4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A1292">
            <v>4</v>
          </cell>
          <cell r="B1292">
            <v>5</v>
          </cell>
          <cell r="C1292">
            <v>5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A1293">
            <v>4</v>
          </cell>
          <cell r="B1293">
            <v>5</v>
          </cell>
          <cell r="C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A1294">
            <v>4</v>
          </cell>
          <cell r="B1294">
            <v>5</v>
          </cell>
          <cell r="C1294">
            <v>7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A1295">
            <v>4</v>
          </cell>
          <cell r="B1295">
            <v>5</v>
          </cell>
          <cell r="C1295">
            <v>8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A1296">
            <v>4</v>
          </cell>
          <cell r="B1296">
            <v>5</v>
          </cell>
          <cell r="C1296">
            <v>9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A1297">
            <v>4</v>
          </cell>
          <cell r="B1297">
            <v>5</v>
          </cell>
          <cell r="C1297">
            <v>10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A1298">
            <v>4</v>
          </cell>
          <cell r="B1298">
            <v>6</v>
          </cell>
          <cell r="C1298">
            <v>1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A1299">
            <v>4</v>
          </cell>
          <cell r="B1299">
            <v>6</v>
          </cell>
          <cell r="C1299">
            <v>2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A1300">
            <v>4</v>
          </cell>
          <cell r="B1300">
            <v>6</v>
          </cell>
          <cell r="C1300">
            <v>3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A1301">
            <v>4</v>
          </cell>
          <cell r="B1301">
            <v>6</v>
          </cell>
          <cell r="C1301">
            <v>4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A1302">
            <v>4</v>
          </cell>
          <cell r="B1302">
            <v>6</v>
          </cell>
          <cell r="C1302">
            <v>5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A1303">
            <v>4</v>
          </cell>
          <cell r="B1303">
            <v>6</v>
          </cell>
          <cell r="C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A1304">
            <v>4</v>
          </cell>
          <cell r="B1304">
            <v>6</v>
          </cell>
          <cell r="C1304">
            <v>7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A1305">
            <v>4</v>
          </cell>
          <cell r="B1305">
            <v>6</v>
          </cell>
          <cell r="C1305">
            <v>8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A1306">
            <v>4</v>
          </cell>
          <cell r="B1306">
            <v>6</v>
          </cell>
          <cell r="C1306">
            <v>9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A1307">
            <v>4</v>
          </cell>
          <cell r="B1307">
            <v>6</v>
          </cell>
          <cell r="C1307">
            <v>10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A1308">
            <v>4</v>
          </cell>
          <cell r="B1308">
            <v>7</v>
          </cell>
          <cell r="C1308">
            <v>1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A1309">
            <v>4</v>
          </cell>
          <cell r="B1309">
            <v>7</v>
          </cell>
          <cell r="C1309">
            <v>2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A1310">
            <v>4</v>
          </cell>
          <cell r="B1310">
            <v>7</v>
          </cell>
          <cell r="C1310">
            <v>3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A1311">
            <v>4</v>
          </cell>
          <cell r="B1311">
            <v>7</v>
          </cell>
          <cell r="C1311">
            <v>4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A1312">
            <v>4</v>
          </cell>
          <cell r="B1312">
            <v>7</v>
          </cell>
          <cell r="C1312">
            <v>5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A1313">
            <v>4</v>
          </cell>
          <cell r="B1313">
            <v>7</v>
          </cell>
          <cell r="C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A1314">
            <v>4</v>
          </cell>
          <cell r="B1314">
            <v>7</v>
          </cell>
          <cell r="C1314">
            <v>7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A1315">
            <v>4</v>
          </cell>
          <cell r="B1315">
            <v>7</v>
          </cell>
          <cell r="C1315">
            <v>8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A1316">
            <v>4</v>
          </cell>
          <cell r="B1316">
            <v>7</v>
          </cell>
          <cell r="C1316">
            <v>9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A1317">
            <v>4</v>
          </cell>
          <cell r="B1317">
            <v>7</v>
          </cell>
          <cell r="C1317">
            <v>10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A1318">
            <v>4</v>
          </cell>
          <cell r="B1318">
            <v>8</v>
          </cell>
          <cell r="C1318">
            <v>1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A1319">
            <v>4</v>
          </cell>
          <cell r="B1319">
            <v>8</v>
          </cell>
          <cell r="C1319">
            <v>2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A1320">
            <v>4</v>
          </cell>
          <cell r="B1320">
            <v>8</v>
          </cell>
          <cell r="C1320">
            <v>3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A1321">
            <v>4</v>
          </cell>
          <cell r="B1321">
            <v>8</v>
          </cell>
          <cell r="C1321">
            <v>4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A1322">
            <v>4</v>
          </cell>
          <cell r="B1322">
            <v>8</v>
          </cell>
          <cell r="C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A1323">
            <v>4</v>
          </cell>
          <cell r="B1323">
            <v>8</v>
          </cell>
          <cell r="C1323">
            <v>6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A1324">
            <v>4</v>
          </cell>
          <cell r="B1324">
            <v>8</v>
          </cell>
          <cell r="C1324">
            <v>7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A1325">
            <v>4</v>
          </cell>
          <cell r="B1325">
            <v>8</v>
          </cell>
          <cell r="C1325">
            <v>8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A1326">
            <v>4</v>
          </cell>
          <cell r="B1326">
            <v>8</v>
          </cell>
          <cell r="C1326">
            <v>9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A1327">
            <v>4</v>
          </cell>
          <cell r="B1327">
            <v>8</v>
          </cell>
          <cell r="C1327">
            <v>10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A1328">
            <v>4</v>
          </cell>
          <cell r="B1328">
            <v>9</v>
          </cell>
          <cell r="C1328">
            <v>1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A1329">
            <v>4</v>
          </cell>
          <cell r="B1329">
            <v>9</v>
          </cell>
          <cell r="C1329">
            <v>2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A1330">
            <v>4</v>
          </cell>
          <cell r="B1330">
            <v>9</v>
          </cell>
          <cell r="C1330">
            <v>3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A1331">
            <v>4</v>
          </cell>
          <cell r="B1331">
            <v>9</v>
          </cell>
          <cell r="C1331">
            <v>4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A1332">
            <v>4</v>
          </cell>
          <cell r="B1332">
            <v>9</v>
          </cell>
          <cell r="C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A1333">
            <v>4</v>
          </cell>
          <cell r="B1333">
            <v>9</v>
          </cell>
          <cell r="C1333">
            <v>6</v>
          </cell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A1334">
            <v>4</v>
          </cell>
          <cell r="B1334">
            <v>9</v>
          </cell>
          <cell r="C1334">
            <v>7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A1335">
            <v>4</v>
          </cell>
          <cell r="B1335">
            <v>9</v>
          </cell>
          <cell r="C1335">
            <v>8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A1336">
            <v>4</v>
          </cell>
          <cell r="B1336">
            <v>9</v>
          </cell>
          <cell r="C1336">
            <v>9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A1337">
            <v>4</v>
          </cell>
          <cell r="B1337">
            <v>9</v>
          </cell>
          <cell r="C1337">
            <v>10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A1338">
            <v>4</v>
          </cell>
          <cell r="B1338">
            <v>10</v>
          </cell>
          <cell r="C1338">
            <v>1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A1339">
            <v>4</v>
          </cell>
          <cell r="B1339">
            <v>10</v>
          </cell>
          <cell r="C1339">
            <v>2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A1340">
            <v>4</v>
          </cell>
          <cell r="B1340">
            <v>10</v>
          </cell>
          <cell r="C1340">
            <v>3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A1341">
            <v>4</v>
          </cell>
          <cell r="B1341">
            <v>10</v>
          </cell>
          <cell r="C1341">
            <v>4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A1342">
            <v>4</v>
          </cell>
          <cell r="B1342">
            <v>10</v>
          </cell>
          <cell r="C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A1343">
            <v>4</v>
          </cell>
          <cell r="B1343">
            <v>10</v>
          </cell>
          <cell r="C1343">
            <v>6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A1344">
            <v>4</v>
          </cell>
          <cell r="B1344">
            <v>10</v>
          </cell>
          <cell r="C1344">
            <v>7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A1345">
            <v>4</v>
          </cell>
          <cell r="B1345">
            <v>10</v>
          </cell>
          <cell r="C1345">
            <v>8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A1346">
            <v>4</v>
          </cell>
          <cell r="B1346">
            <v>10</v>
          </cell>
          <cell r="C1346">
            <v>9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A1347">
            <v>4</v>
          </cell>
          <cell r="B1347">
            <v>10</v>
          </cell>
          <cell r="C1347">
            <v>10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A1348">
            <v>4</v>
          </cell>
          <cell r="B1348">
            <v>11</v>
          </cell>
          <cell r="C1348">
            <v>1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A1349">
            <v>4</v>
          </cell>
          <cell r="B1349">
            <v>11</v>
          </cell>
          <cell r="C1349">
            <v>2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A1350">
            <v>4</v>
          </cell>
          <cell r="B1350">
            <v>11</v>
          </cell>
          <cell r="C1350">
            <v>3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A1351">
            <v>4</v>
          </cell>
          <cell r="B1351">
            <v>11</v>
          </cell>
          <cell r="C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A1352">
            <v>4</v>
          </cell>
          <cell r="B1352">
            <v>11</v>
          </cell>
          <cell r="C1352">
            <v>5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A1353">
            <v>4</v>
          </cell>
          <cell r="B1353">
            <v>11</v>
          </cell>
          <cell r="C1353">
            <v>6</v>
          </cell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A1354">
            <v>4</v>
          </cell>
          <cell r="B1354">
            <v>11</v>
          </cell>
          <cell r="C1354">
            <v>7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A1355">
            <v>4</v>
          </cell>
          <cell r="B1355">
            <v>11</v>
          </cell>
          <cell r="C1355">
            <v>8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A1356">
            <v>4</v>
          </cell>
          <cell r="B1356">
            <v>11</v>
          </cell>
          <cell r="C1356">
            <v>9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A1357">
            <v>4</v>
          </cell>
          <cell r="B1357">
            <v>11</v>
          </cell>
          <cell r="C1357">
            <v>10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A1358">
            <v>4</v>
          </cell>
          <cell r="B1358">
            <v>12</v>
          </cell>
          <cell r="C1358">
            <v>1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A1359">
            <v>4</v>
          </cell>
          <cell r="B1359">
            <v>12</v>
          </cell>
          <cell r="C1359">
            <v>2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A1360">
            <v>4</v>
          </cell>
          <cell r="B1360">
            <v>12</v>
          </cell>
          <cell r="C1360">
            <v>3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A1361">
            <v>4</v>
          </cell>
          <cell r="B1361">
            <v>12</v>
          </cell>
          <cell r="C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A1362">
            <v>4</v>
          </cell>
          <cell r="B1362">
            <v>12</v>
          </cell>
          <cell r="C1362">
            <v>5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A1363">
            <v>4</v>
          </cell>
          <cell r="B1363">
            <v>12</v>
          </cell>
          <cell r="C1363">
            <v>6</v>
          </cell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A1364">
            <v>4</v>
          </cell>
          <cell r="B1364">
            <v>12</v>
          </cell>
          <cell r="C1364">
            <v>7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A1365">
            <v>4</v>
          </cell>
          <cell r="B1365">
            <v>12</v>
          </cell>
          <cell r="C1365">
            <v>8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A1366">
            <v>4</v>
          </cell>
          <cell r="B1366">
            <v>12</v>
          </cell>
          <cell r="C1366">
            <v>9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A1367">
            <v>4</v>
          </cell>
          <cell r="B1367">
            <v>12</v>
          </cell>
          <cell r="C1367">
            <v>10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A1368">
            <v>4</v>
          </cell>
          <cell r="B1368">
            <v>13</v>
          </cell>
          <cell r="C1368">
            <v>1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A1369">
            <v>4</v>
          </cell>
          <cell r="B1369">
            <v>13</v>
          </cell>
          <cell r="C1369">
            <v>2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A1370">
            <v>4</v>
          </cell>
          <cell r="B1370">
            <v>13</v>
          </cell>
          <cell r="C1370">
            <v>3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A1371">
            <v>4</v>
          </cell>
          <cell r="B1371">
            <v>13</v>
          </cell>
          <cell r="C1371">
            <v>4</v>
          </cell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A1372">
            <v>4</v>
          </cell>
          <cell r="B1372">
            <v>13</v>
          </cell>
          <cell r="C1372">
            <v>5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A1373">
            <v>4</v>
          </cell>
          <cell r="B1373">
            <v>13</v>
          </cell>
          <cell r="C1373">
            <v>6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A1374">
            <v>4</v>
          </cell>
          <cell r="B1374">
            <v>13</v>
          </cell>
          <cell r="C1374">
            <v>7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A1375">
            <v>4</v>
          </cell>
          <cell r="B1375">
            <v>13</v>
          </cell>
          <cell r="C1375">
            <v>8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A1376">
            <v>4</v>
          </cell>
          <cell r="B1376">
            <v>13</v>
          </cell>
          <cell r="C1376">
            <v>9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A1377">
            <v>4</v>
          </cell>
          <cell r="B1377">
            <v>13</v>
          </cell>
          <cell r="C1377">
            <v>10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A1378">
            <v>4</v>
          </cell>
          <cell r="B1378">
            <v>14</v>
          </cell>
          <cell r="C1378">
            <v>1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A1379">
            <v>4</v>
          </cell>
          <cell r="B1379">
            <v>14</v>
          </cell>
          <cell r="C1379">
            <v>2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A1380">
            <v>4</v>
          </cell>
          <cell r="B1380">
            <v>14</v>
          </cell>
          <cell r="C1380">
            <v>3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A1381">
            <v>4</v>
          </cell>
          <cell r="B1381">
            <v>14</v>
          </cell>
          <cell r="C1381">
            <v>4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A1382">
            <v>4</v>
          </cell>
          <cell r="B1382">
            <v>14</v>
          </cell>
          <cell r="C1382">
            <v>5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A1383">
            <v>4</v>
          </cell>
          <cell r="B1383">
            <v>14</v>
          </cell>
          <cell r="C1383">
            <v>6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A1384">
            <v>4</v>
          </cell>
          <cell r="B1384">
            <v>14</v>
          </cell>
          <cell r="C1384">
            <v>7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A1385">
            <v>4</v>
          </cell>
          <cell r="B1385">
            <v>14</v>
          </cell>
          <cell r="C1385">
            <v>8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A1386">
            <v>4</v>
          </cell>
          <cell r="B1386">
            <v>14</v>
          </cell>
          <cell r="C1386">
            <v>9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A1387">
            <v>4</v>
          </cell>
          <cell r="B1387">
            <v>14</v>
          </cell>
          <cell r="C1387">
            <v>10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A1388">
            <v>4</v>
          </cell>
          <cell r="B1388">
            <v>15</v>
          </cell>
          <cell r="C1388">
            <v>1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A1389">
            <v>4</v>
          </cell>
          <cell r="B1389">
            <v>15</v>
          </cell>
          <cell r="C1389">
            <v>2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A1390">
            <v>4</v>
          </cell>
          <cell r="B1390">
            <v>15</v>
          </cell>
          <cell r="C1390">
            <v>3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A1391">
            <v>4</v>
          </cell>
          <cell r="B1391">
            <v>15</v>
          </cell>
          <cell r="C1391">
            <v>4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A1392">
            <v>4</v>
          </cell>
          <cell r="B1392">
            <v>15</v>
          </cell>
          <cell r="C1392">
            <v>5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A1393">
            <v>4</v>
          </cell>
          <cell r="B1393">
            <v>15</v>
          </cell>
          <cell r="C1393">
            <v>6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A1394">
            <v>4</v>
          </cell>
          <cell r="B1394">
            <v>15</v>
          </cell>
          <cell r="C1394">
            <v>7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A1395">
            <v>4</v>
          </cell>
          <cell r="B1395">
            <v>15</v>
          </cell>
          <cell r="C1395">
            <v>8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A1396">
            <v>4</v>
          </cell>
          <cell r="B1396">
            <v>15</v>
          </cell>
          <cell r="C1396">
            <v>9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A1397">
            <v>4</v>
          </cell>
          <cell r="B1397">
            <v>15</v>
          </cell>
          <cell r="C1397">
            <v>10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0.57999999999999996</v>
          </cell>
          <cell r="Q18">
            <v>0.57999999999999996</v>
          </cell>
          <cell r="R18">
            <v>0.57999999999999996</v>
          </cell>
          <cell r="S18">
            <v>0.57999999999999996</v>
          </cell>
          <cell r="T18">
            <v>0.57999999999999996</v>
          </cell>
          <cell r="U18">
            <v>0.57999999999999996</v>
          </cell>
          <cell r="V18">
            <v>0.57999999999999996</v>
          </cell>
          <cell r="W18">
            <v>0.57999999999999996</v>
          </cell>
          <cell r="X18">
            <v>0.57999999999999996</v>
          </cell>
          <cell r="Y18">
            <v>0.57999999999999996</v>
          </cell>
          <cell r="Z18">
            <v>0.57999999999999996</v>
          </cell>
          <cell r="AA18">
            <v>0.57999999999999996</v>
          </cell>
          <cell r="AB18">
            <v>0.57999999999999996</v>
          </cell>
          <cell r="AC18">
            <v>0.57999999999999996</v>
          </cell>
          <cell r="AD18">
            <v>0.57999999999999996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0.77</v>
          </cell>
          <cell r="BR18">
            <v>0.77</v>
          </cell>
          <cell r="BS18">
            <v>0.77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0.57999999999999996</v>
          </cell>
          <cell r="Q19">
            <v>0.57999999999999996</v>
          </cell>
          <cell r="R19">
            <v>0.57999999999999996</v>
          </cell>
          <cell r="S19">
            <v>0.57999999999999996</v>
          </cell>
          <cell r="T19">
            <v>0.57999999999999996</v>
          </cell>
          <cell r="U19">
            <v>0.57999999999999996</v>
          </cell>
          <cell r="V19">
            <v>0.57999999999999996</v>
          </cell>
          <cell r="W19">
            <v>0.57999999999999996</v>
          </cell>
          <cell r="X19">
            <v>0.57999999999999996</v>
          </cell>
          <cell r="Y19">
            <v>0.57999999999999996</v>
          </cell>
          <cell r="Z19">
            <v>0.57999999999999996</v>
          </cell>
          <cell r="AA19">
            <v>0.57999999999999996</v>
          </cell>
          <cell r="AB19">
            <v>0.57999999999999996</v>
          </cell>
          <cell r="AC19">
            <v>0.57999999999999996</v>
          </cell>
          <cell r="AD19">
            <v>0.57999999999999996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0.77</v>
          </cell>
          <cell r="BR19">
            <v>0.77</v>
          </cell>
          <cell r="BS19">
            <v>0.77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0.57999999999999996</v>
          </cell>
          <cell r="Q20">
            <v>0.57999999999999996</v>
          </cell>
          <cell r="R20">
            <v>0.57999999999999996</v>
          </cell>
          <cell r="S20">
            <v>0.57999999999999996</v>
          </cell>
          <cell r="T20">
            <v>0.57999999999999996</v>
          </cell>
          <cell r="U20">
            <v>0.57999999999999996</v>
          </cell>
          <cell r="V20">
            <v>0.57999999999999996</v>
          </cell>
          <cell r="W20">
            <v>0.57999999999999996</v>
          </cell>
          <cell r="X20">
            <v>0.57999999999999996</v>
          </cell>
          <cell r="Y20">
            <v>0.57999999999999996</v>
          </cell>
          <cell r="Z20">
            <v>0.57999999999999996</v>
          </cell>
          <cell r="AA20">
            <v>0.57999999999999996</v>
          </cell>
          <cell r="AB20">
            <v>0.57999999999999996</v>
          </cell>
          <cell r="AC20">
            <v>0.57999999999999996</v>
          </cell>
          <cell r="AD20">
            <v>0.57999999999999996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0.77</v>
          </cell>
          <cell r="BR20">
            <v>0.77</v>
          </cell>
          <cell r="BS20">
            <v>0.77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0.57999999999999996</v>
          </cell>
          <cell r="Q21">
            <v>0.57999999999999996</v>
          </cell>
          <cell r="R21">
            <v>0.57999999999999996</v>
          </cell>
          <cell r="S21">
            <v>0.57999999999999996</v>
          </cell>
          <cell r="T21">
            <v>0.57999999999999996</v>
          </cell>
          <cell r="U21">
            <v>0.57999999999999996</v>
          </cell>
          <cell r="V21">
            <v>0.57999999999999996</v>
          </cell>
          <cell r="W21">
            <v>0.57999999999999996</v>
          </cell>
          <cell r="X21">
            <v>0.57999999999999996</v>
          </cell>
          <cell r="Y21">
            <v>0.57999999999999996</v>
          </cell>
          <cell r="Z21">
            <v>0.57999999999999996</v>
          </cell>
          <cell r="AA21">
            <v>0.57999999999999996</v>
          </cell>
          <cell r="AB21">
            <v>0.57999999999999996</v>
          </cell>
          <cell r="AC21">
            <v>0.57999999999999996</v>
          </cell>
          <cell r="AD21">
            <v>0.57999999999999996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0.77</v>
          </cell>
          <cell r="BR21">
            <v>0.77</v>
          </cell>
          <cell r="BS21">
            <v>0.77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0.57999999999999996</v>
          </cell>
          <cell r="Q22">
            <v>0.57999999999999996</v>
          </cell>
          <cell r="R22">
            <v>0.57999999999999996</v>
          </cell>
          <cell r="S22">
            <v>0.57999999999999996</v>
          </cell>
          <cell r="T22">
            <v>0.57999999999999996</v>
          </cell>
          <cell r="U22">
            <v>0.57999999999999996</v>
          </cell>
          <cell r="V22">
            <v>0.57999999999999996</v>
          </cell>
          <cell r="W22">
            <v>0.57999999999999996</v>
          </cell>
          <cell r="X22">
            <v>0.57999999999999996</v>
          </cell>
          <cell r="Y22">
            <v>0.57999999999999996</v>
          </cell>
          <cell r="Z22">
            <v>0.57999999999999996</v>
          </cell>
          <cell r="AA22">
            <v>0.57999999999999996</v>
          </cell>
          <cell r="AB22">
            <v>0.57999999999999996</v>
          </cell>
          <cell r="AC22">
            <v>0.57999999999999996</v>
          </cell>
          <cell r="AD22">
            <v>0.57999999999999996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0.77</v>
          </cell>
          <cell r="BR22">
            <v>0.77</v>
          </cell>
          <cell r="BS22">
            <v>0.77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0.57999999999999996</v>
          </cell>
          <cell r="Q23">
            <v>0.57999999999999996</v>
          </cell>
          <cell r="R23">
            <v>0.57999999999999996</v>
          </cell>
          <cell r="S23">
            <v>0.57999999999999996</v>
          </cell>
          <cell r="T23">
            <v>0.57999999999999996</v>
          </cell>
          <cell r="U23">
            <v>0.57999999999999996</v>
          </cell>
          <cell r="V23">
            <v>0.57999999999999996</v>
          </cell>
          <cell r="W23">
            <v>0.57999999999999996</v>
          </cell>
          <cell r="X23">
            <v>0.57999999999999996</v>
          </cell>
          <cell r="Y23">
            <v>0.57999999999999996</v>
          </cell>
          <cell r="Z23">
            <v>0.57999999999999996</v>
          </cell>
          <cell r="AA23">
            <v>0.57999999999999996</v>
          </cell>
          <cell r="AB23">
            <v>0.57999999999999996</v>
          </cell>
          <cell r="AC23">
            <v>0.57999999999999996</v>
          </cell>
          <cell r="AD23">
            <v>0.57999999999999996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0.77</v>
          </cell>
          <cell r="BR23">
            <v>0.77</v>
          </cell>
          <cell r="BS23">
            <v>0.77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0.57999999999999996</v>
          </cell>
          <cell r="Q24">
            <v>0.57999999999999996</v>
          </cell>
          <cell r="R24">
            <v>0.57999999999999996</v>
          </cell>
          <cell r="S24">
            <v>0.57999999999999996</v>
          </cell>
          <cell r="T24">
            <v>0.57999999999999996</v>
          </cell>
          <cell r="U24">
            <v>0.57999999999999996</v>
          </cell>
          <cell r="V24">
            <v>0.57999999999999996</v>
          </cell>
          <cell r="W24">
            <v>0.57999999999999996</v>
          </cell>
          <cell r="X24">
            <v>0.57999999999999996</v>
          </cell>
          <cell r="Y24">
            <v>0.57999999999999996</v>
          </cell>
          <cell r="Z24">
            <v>0.57999999999999996</v>
          </cell>
          <cell r="AA24">
            <v>0.57999999999999996</v>
          </cell>
          <cell r="AB24">
            <v>0.57999999999999996</v>
          </cell>
          <cell r="AC24">
            <v>0.57999999999999996</v>
          </cell>
          <cell r="AD24">
            <v>0.57999999999999996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0.77</v>
          </cell>
          <cell r="BR24">
            <v>0.77</v>
          </cell>
          <cell r="BS24">
            <v>0.77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0.57999999999999996</v>
          </cell>
          <cell r="Q25">
            <v>0.57999999999999996</v>
          </cell>
          <cell r="R25">
            <v>0.57999999999999996</v>
          </cell>
          <cell r="S25">
            <v>0.57999999999999996</v>
          </cell>
          <cell r="T25">
            <v>0.57999999999999996</v>
          </cell>
          <cell r="U25">
            <v>0.57999999999999996</v>
          </cell>
          <cell r="V25">
            <v>0.57999999999999996</v>
          </cell>
          <cell r="W25">
            <v>0.57999999999999996</v>
          </cell>
          <cell r="X25">
            <v>0.57999999999999996</v>
          </cell>
          <cell r="Y25">
            <v>0.57999999999999996</v>
          </cell>
          <cell r="Z25">
            <v>0.57999999999999996</v>
          </cell>
          <cell r="AA25">
            <v>0.57999999999999996</v>
          </cell>
          <cell r="AB25">
            <v>0.57999999999999996</v>
          </cell>
          <cell r="AC25">
            <v>0.57999999999999996</v>
          </cell>
          <cell r="AD25">
            <v>0.57999999999999996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0.77</v>
          </cell>
          <cell r="BR25">
            <v>0.77</v>
          </cell>
          <cell r="BS25">
            <v>0.77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0.57999999999999996</v>
          </cell>
          <cell r="Q26">
            <v>0.57999999999999996</v>
          </cell>
          <cell r="R26">
            <v>0.57999999999999996</v>
          </cell>
          <cell r="S26">
            <v>0.57999999999999996</v>
          </cell>
          <cell r="T26">
            <v>0.57999999999999996</v>
          </cell>
          <cell r="U26">
            <v>0.57999999999999996</v>
          </cell>
          <cell r="V26">
            <v>0.57999999999999996</v>
          </cell>
          <cell r="W26">
            <v>0.57999999999999996</v>
          </cell>
          <cell r="X26">
            <v>0.57999999999999996</v>
          </cell>
          <cell r="Y26">
            <v>0.57999999999999996</v>
          </cell>
          <cell r="Z26">
            <v>0.57999999999999996</v>
          </cell>
          <cell r="AA26">
            <v>0.57999999999999996</v>
          </cell>
          <cell r="AB26">
            <v>0.57999999999999996</v>
          </cell>
          <cell r="AC26">
            <v>0.57999999999999996</v>
          </cell>
          <cell r="AD26">
            <v>0.57999999999999996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0.77</v>
          </cell>
          <cell r="BR26">
            <v>0.77</v>
          </cell>
          <cell r="BS26">
            <v>0.77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0.77</v>
          </cell>
          <cell r="BR108">
            <v>0.77</v>
          </cell>
          <cell r="BS108">
            <v>0.77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0.77</v>
          </cell>
          <cell r="BR109">
            <v>0.77</v>
          </cell>
          <cell r="BS109">
            <v>0.77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0.77</v>
          </cell>
          <cell r="BR110">
            <v>0.77</v>
          </cell>
          <cell r="BS110">
            <v>0.77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0.77</v>
          </cell>
          <cell r="BR111">
            <v>0.77</v>
          </cell>
          <cell r="BS111">
            <v>0.77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0.77</v>
          </cell>
          <cell r="BR112">
            <v>0.77</v>
          </cell>
          <cell r="BS112">
            <v>0.77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0.77</v>
          </cell>
          <cell r="BR113">
            <v>0.77</v>
          </cell>
          <cell r="BS113">
            <v>0.77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0.77</v>
          </cell>
          <cell r="BR114">
            <v>0.77</v>
          </cell>
          <cell r="BS114">
            <v>0.77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0.77</v>
          </cell>
          <cell r="BR115">
            <v>0.77</v>
          </cell>
          <cell r="BS115">
            <v>0.77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0.77</v>
          </cell>
          <cell r="BR116">
            <v>0.77</v>
          </cell>
          <cell r="BS116">
            <v>0.77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0.57999999999999996</v>
          </cell>
          <cell r="Q153">
            <v>0.57999999999999996</v>
          </cell>
          <cell r="R153">
            <v>0.57999999999999996</v>
          </cell>
          <cell r="S153">
            <v>0.57999999999999996</v>
          </cell>
          <cell r="T153">
            <v>0.57999999999999996</v>
          </cell>
          <cell r="U153">
            <v>0.57999999999999996</v>
          </cell>
          <cell r="V153">
            <v>0.57999999999999996</v>
          </cell>
          <cell r="W153">
            <v>0.57999999999999996</v>
          </cell>
          <cell r="X153">
            <v>0.57999999999999996</v>
          </cell>
          <cell r="Y153">
            <v>0.57999999999999996</v>
          </cell>
          <cell r="Z153">
            <v>0.57999999999999996</v>
          </cell>
          <cell r="AA153">
            <v>0.57999999999999996</v>
          </cell>
          <cell r="AB153">
            <v>0.57999999999999996</v>
          </cell>
          <cell r="AC153">
            <v>0.57999999999999996</v>
          </cell>
          <cell r="AD153">
            <v>0.57999999999999996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0.57999999999999996</v>
          </cell>
          <cell r="Q154">
            <v>0.57999999999999996</v>
          </cell>
          <cell r="R154">
            <v>0.57999999999999996</v>
          </cell>
          <cell r="S154">
            <v>0.57999999999999996</v>
          </cell>
          <cell r="T154">
            <v>0.57999999999999996</v>
          </cell>
          <cell r="U154">
            <v>0.57999999999999996</v>
          </cell>
          <cell r="V154">
            <v>0.57999999999999996</v>
          </cell>
          <cell r="W154">
            <v>0.57999999999999996</v>
          </cell>
          <cell r="X154">
            <v>0.57999999999999996</v>
          </cell>
          <cell r="Y154">
            <v>0.57999999999999996</v>
          </cell>
          <cell r="Z154">
            <v>0.57999999999999996</v>
          </cell>
          <cell r="AA154">
            <v>0.57999999999999996</v>
          </cell>
          <cell r="AB154">
            <v>0.57999999999999996</v>
          </cell>
          <cell r="AC154">
            <v>0.57999999999999996</v>
          </cell>
          <cell r="AD154">
            <v>0.57999999999999996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0.57999999999999996</v>
          </cell>
          <cell r="Q155">
            <v>0.57999999999999996</v>
          </cell>
          <cell r="R155">
            <v>0.57999999999999996</v>
          </cell>
          <cell r="S155">
            <v>0.57999999999999996</v>
          </cell>
          <cell r="T155">
            <v>0.57999999999999996</v>
          </cell>
          <cell r="U155">
            <v>0.57999999999999996</v>
          </cell>
          <cell r="V155">
            <v>0.57999999999999996</v>
          </cell>
          <cell r="W155">
            <v>0.57999999999999996</v>
          </cell>
          <cell r="X155">
            <v>0.57999999999999996</v>
          </cell>
          <cell r="Y155">
            <v>0.57999999999999996</v>
          </cell>
          <cell r="Z155">
            <v>0.57999999999999996</v>
          </cell>
          <cell r="AA155">
            <v>0.57999999999999996</v>
          </cell>
          <cell r="AB155">
            <v>0.57999999999999996</v>
          </cell>
          <cell r="AC155">
            <v>0.57999999999999996</v>
          </cell>
          <cell r="AD155">
            <v>0.57999999999999996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0.57999999999999996</v>
          </cell>
          <cell r="Q156">
            <v>0.57999999999999996</v>
          </cell>
          <cell r="R156">
            <v>0.57999999999999996</v>
          </cell>
          <cell r="S156">
            <v>0.57999999999999996</v>
          </cell>
          <cell r="T156">
            <v>0.57999999999999996</v>
          </cell>
          <cell r="U156">
            <v>0.57999999999999996</v>
          </cell>
          <cell r="V156">
            <v>0.57999999999999996</v>
          </cell>
          <cell r="W156">
            <v>0.57999999999999996</v>
          </cell>
          <cell r="X156">
            <v>0.57999999999999996</v>
          </cell>
          <cell r="Y156">
            <v>0.57999999999999996</v>
          </cell>
          <cell r="Z156">
            <v>0.57999999999999996</v>
          </cell>
          <cell r="AA156">
            <v>0.57999999999999996</v>
          </cell>
          <cell r="AB156">
            <v>0.57999999999999996</v>
          </cell>
          <cell r="AC156">
            <v>0.57999999999999996</v>
          </cell>
          <cell r="AD156">
            <v>0.57999999999999996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0.57999999999999996</v>
          </cell>
          <cell r="Q157">
            <v>0.57999999999999996</v>
          </cell>
          <cell r="R157">
            <v>0.57999999999999996</v>
          </cell>
          <cell r="S157">
            <v>0.57999999999999996</v>
          </cell>
          <cell r="T157">
            <v>0.57999999999999996</v>
          </cell>
          <cell r="U157">
            <v>0.57999999999999996</v>
          </cell>
          <cell r="V157">
            <v>0.57999999999999996</v>
          </cell>
          <cell r="W157">
            <v>0.57999999999999996</v>
          </cell>
          <cell r="X157">
            <v>0.57999999999999996</v>
          </cell>
          <cell r="Y157">
            <v>0.57999999999999996</v>
          </cell>
          <cell r="Z157">
            <v>0.57999999999999996</v>
          </cell>
          <cell r="AA157">
            <v>0.57999999999999996</v>
          </cell>
          <cell r="AB157">
            <v>0.57999999999999996</v>
          </cell>
          <cell r="AC157">
            <v>0.57999999999999996</v>
          </cell>
          <cell r="AD157">
            <v>0.57999999999999996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0.57999999999999996</v>
          </cell>
          <cell r="Q158">
            <v>0.57999999999999996</v>
          </cell>
          <cell r="R158">
            <v>0.57999999999999996</v>
          </cell>
          <cell r="S158">
            <v>0.57999999999999996</v>
          </cell>
          <cell r="T158">
            <v>0.57999999999999996</v>
          </cell>
          <cell r="U158">
            <v>0.57999999999999996</v>
          </cell>
          <cell r="V158">
            <v>0.57999999999999996</v>
          </cell>
          <cell r="W158">
            <v>0.57999999999999996</v>
          </cell>
          <cell r="X158">
            <v>0.57999999999999996</v>
          </cell>
          <cell r="Y158">
            <v>0.57999999999999996</v>
          </cell>
          <cell r="Z158">
            <v>0.57999999999999996</v>
          </cell>
          <cell r="AA158">
            <v>0.57999999999999996</v>
          </cell>
          <cell r="AB158">
            <v>0.57999999999999996</v>
          </cell>
          <cell r="AC158">
            <v>0.57999999999999996</v>
          </cell>
          <cell r="AD158">
            <v>0.57999999999999996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0.57999999999999996</v>
          </cell>
          <cell r="Q159">
            <v>0.57999999999999996</v>
          </cell>
          <cell r="R159">
            <v>0.57999999999999996</v>
          </cell>
          <cell r="S159">
            <v>0.57999999999999996</v>
          </cell>
          <cell r="T159">
            <v>0.57999999999999996</v>
          </cell>
          <cell r="U159">
            <v>0.57999999999999996</v>
          </cell>
          <cell r="V159">
            <v>0.57999999999999996</v>
          </cell>
          <cell r="W159">
            <v>0.57999999999999996</v>
          </cell>
          <cell r="X159">
            <v>0.57999999999999996</v>
          </cell>
          <cell r="Y159">
            <v>0.57999999999999996</v>
          </cell>
          <cell r="Z159">
            <v>0.57999999999999996</v>
          </cell>
          <cell r="AA159">
            <v>0.57999999999999996</v>
          </cell>
          <cell r="AB159">
            <v>0.57999999999999996</v>
          </cell>
          <cell r="AC159">
            <v>0.57999999999999996</v>
          </cell>
          <cell r="AD159">
            <v>0.57999999999999996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0.57999999999999996</v>
          </cell>
          <cell r="Q160">
            <v>0.57999999999999996</v>
          </cell>
          <cell r="R160">
            <v>0.57999999999999996</v>
          </cell>
          <cell r="S160">
            <v>0.57999999999999996</v>
          </cell>
          <cell r="T160">
            <v>0.57999999999999996</v>
          </cell>
          <cell r="U160">
            <v>0.57999999999999996</v>
          </cell>
          <cell r="V160">
            <v>0.57999999999999996</v>
          </cell>
          <cell r="W160">
            <v>0.57999999999999996</v>
          </cell>
          <cell r="X160">
            <v>0.57999999999999996</v>
          </cell>
          <cell r="Y160">
            <v>0.57999999999999996</v>
          </cell>
          <cell r="Z160">
            <v>0.57999999999999996</v>
          </cell>
          <cell r="AA160">
            <v>0.57999999999999996</v>
          </cell>
          <cell r="AB160">
            <v>0.57999999999999996</v>
          </cell>
          <cell r="AC160">
            <v>0.57999999999999996</v>
          </cell>
          <cell r="AD160">
            <v>0.57999999999999996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0.57999999999999996</v>
          </cell>
          <cell r="Q161">
            <v>0.57999999999999996</v>
          </cell>
          <cell r="R161">
            <v>0.57999999999999996</v>
          </cell>
          <cell r="S161">
            <v>0.57999999999999996</v>
          </cell>
          <cell r="T161">
            <v>0.57999999999999996</v>
          </cell>
          <cell r="U161">
            <v>0.57999999999999996</v>
          </cell>
          <cell r="V161">
            <v>0.57999999999999996</v>
          </cell>
          <cell r="W161">
            <v>0.57999999999999996</v>
          </cell>
          <cell r="X161">
            <v>0.57999999999999996</v>
          </cell>
          <cell r="Y161">
            <v>0.57999999999999996</v>
          </cell>
          <cell r="Z161">
            <v>0.57999999999999996</v>
          </cell>
          <cell r="AA161">
            <v>0.57999999999999996</v>
          </cell>
          <cell r="AB161">
            <v>0.57999999999999996</v>
          </cell>
          <cell r="AC161">
            <v>0.57999999999999996</v>
          </cell>
          <cell r="AD161">
            <v>0.57999999999999996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0.57999999999999996</v>
          </cell>
          <cell r="Q168">
            <v>0.57999999999999996</v>
          </cell>
          <cell r="R168">
            <v>0.57999999999999996</v>
          </cell>
          <cell r="S168">
            <v>0.57999999999999996</v>
          </cell>
          <cell r="T168">
            <v>0.57999999999999996</v>
          </cell>
          <cell r="U168">
            <v>0.57999999999999996</v>
          </cell>
          <cell r="V168">
            <v>0.57999999999999996</v>
          </cell>
          <cell r="W168">
            <v>0.57999999999999996</v>
          </cell>
          <cell r="X168">
            <v>0.57999999999999996</v>
          </cell>
          <cell r="Y168">
            <v>0.57999999999999996</v>
          </cell>
          <cell r="Z168">
            <v>0.57999999999999996</v>
          </cell>
          <cell r="AA168">
            <v>0.57999999999999996</v>
          </cell>
          <cell r="AB168">
            <v>0.57999999999999996</v>
          </cell>
          <cell r="AC168">
            <v>0.57999999999999996</v>
          </cell>
          <cell r="AD168">
            <v>0.57999999999999996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0.57999999999999996</v>
          </cell>
          <cell r="Q169">
            <v>0.57999999999999996</v>
          </cell>
          <cell r="R169">
            <v>0.57999999999999996</v>
          </cell>
          <cell r="S169">
            <v>0.57999999999999996</v>
          </cell>
          <cell r="T169">
            <v>0.57999999999999996</v>
          </cell>
          <cell r="U169">
            <v>0.57999999999999996</v>
          </cell>
          <cell r="V169">
            <v>0.57999999999999996</v>
          </cell>
          <cell r="W169">
            <v>0.57999999999999996</v>
          </cell>
          <cell r="X169">
            <v>0.57999999999999996</v>
          </cell>
          <cell r="Y169">
            <v>0.57999999999999996</v>
          </cell>
          <cell r="Z169">
            <v>0.57999999999999996</v>
          </cell>
          <cell r="AA169">
            <v>0.57999999999999996</v>
          </cell>
          <cell r="AB169">
            <v>0.57999999999999996</v>
          </cell>
          <cell r="AC169">
            <v>0.57999999999999996</v>
          </cell>
          <cell r="AD169">
            <v>0.57999999999999996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0.57999999999999996</v>
          </cell>
          <cell r="Q170">
            <v>0.57999999999999996</v>
          </cell>
          <cell r="R170">
            <v>0.57999999999999996</v>
          </cell>
          <cell r="S170">
            <v>0.57999999999999996</v>
          </cell>
          <cell r="T170">
            <v>0.57999999999999996</v>
          </cell>
          <cell r="U170">
            <v>0.57999999999999996</v>
          </cell>
          <cell r="V170">
            <v>0.57999999999999996</v>
          </cell>
          <cell r="W170">
            <v>0.57999999999999996</v>
          </cell>
          <cell r="X170">
            <v>0.57999999999999996</v>
          </cell>
          <cell r="Y170">
            <v>0.57999999999999996</v>
          </cell>
          <cell r="Z170">
            <v>0.57999999999999996</v>
          </cell>
          <cell r="AA170">
            <v>0.57999999999999996</v>
          </cell>
          <cell r="AB170">
            <v>0.57999999999999996</v>
          </cell>
          <cell r="AC170">
            <v>0.57999999999999996</v>
          </cell>
          <cell r="AD170">
            <v>0.57999999999999996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0.57999999999999996</v>
          </cell>
          <cell r="Q171">
            <v>0.57999999999999996</v>
          </cell>
          <cell r="R171">
            <v>0.57999999999999996</v>
          </cell>
          <cell r="S171">
            <v>0.57999999999999996</v>
          </cell>
          <cell r="T171">
            <v>0.57999999999999996</v>
          </cell>
          <cell r="U171">
            <v>0.57999999999999996</v>
          </cell>
          <cell r="V171">
            <v>0.57999999999999996</v>
          </cell>
          <cell r="W171">
            <v>0.57999999999999996</v>
          </cell>
          <cell r="X171">
            <v>0.57999999999999996</v>
          </cell>
          <cell r="Y171">
            <v>0.57999999999999996</v>
          </cell>
          <cell r="Z171">
            <v>0.57999999999999996</v>
          </cell>
          <cell r="AA171">
            <v>0.57999999999999996</v>
          </cell>
          <cell r="AB171">
            <v>0.57999999999999996</v>
          </cell>
          <cell r="AC171">
            <v>0.57999999999999996</v>
          </cell>
          <cell r="AD171">
            <v>0.57999999999999996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0.57999999999999996</v>
          </cell>
          <cell r="Q172">
            <v>0.57999999999999996</v>
          </cell>
          <cell r="R172">
            <v>0.57999999999999996</v>
          </cell>
          <cell r="S172">
            <v>0.57999999999999996</v>
          </cell>
          <cell r="T172">
            <v>0.57999999999999996</v>
          </cell>
          <cell r="U172">
            <v>0.57999999999999996</v>
          </cell>
          <cell r="V172">
            <v>0.57999999999999996</v>
          </cell>
          <cell r="W172">
            <v>0.57999999999999996</v>
          </cell>
          <cell r="X172">
            <v>0.57999999999999996</v>
          </cell>
          <cell r="Y172">
            <v>0.57999999999999996</v>
          </cell>
          <cell r="Z172">
            <v>0.57999999999999996</v>
          </cell>
          <cell r="AA172">
            <v>0.57999999999999996</v>
          </cell>
          <cell r="AB172">
            <v>0.57999999999999996</v>
          </cell>
          <cell r="AC172">
            <v>0.57999999999999996</v>
          </cell>
          <cell r="AD172">
            <v>0.57999999999999996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0.57999999999999996</v>
          </cell>
          <cell r="Q173">
            <v>0.57999999999999996</v>
          </cell>
          <cell r="R173">
            <v>0.57999999999999996</v>
          </cell>
          <cell r="S173">
            <v>0.57999999999999996</v>
          </cell>
          <cell r="T173">
            <v>0.57999999999999996</v>
          </cell>
          <cell r="U173">
            <v>0.57999999999999996</v>
          </cell>
          <cell r="V173">
            <v>0.57999999999999996</v>
          </cell>
          <cell r="W173">
            <v>0.57999999999999996</v>
          </cell>
          <cell r="X173">
            <v>0.57999999999999996</v>
          </cell>
          <cell r="Y173">
            <v>0.57999999999999996</v>
          </cell>
          <cell r="Z173">
            <v>0.57999999999999996</v>
          </cell>
          <cell r="AA173">
            <v>0.57999999999999996</v>
          </cell>
          <cell r="AB173">
            <v>0.57999999999999996</v>
          </cell>
          <cell r="AC173">
            <v>0.57999999999999996</v>
          </cell>
          <cell r="AD173">
            <v>0.57999999999999996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0.57999999999999996</v>
          </cell>
          <cell r="Q174">
            <v>0.57999999999999996</v>
          </cell>
          <cell r="R174">
            <v>0.57999999999999996</v>
          </cell>
          <cell r="S174">
            <v>0.57999999999999996</v>
          </cell>
          <cell r="T174">
            <v>0.57999999999999996</v>
          </cell>
          <cell r="U174">
            <v>0.57999999999999996</v>
          </cell>
          <cell r="V174">
            <v>0.57999999999999996</v>
          </cell>
          <cell r="W174">
            <v>0.57999999999999996</v>
          </cell>
          <cell r="X174">
            <v>0.57999999999999996</v>
          </cell>
          <cell r="Y174">
            <v>0.57999999999999996</v>
          </cell>
          <cell r="Z174">
            <v>0.57999999999999996</v>
          </cell>
          <cell r="AA174">
            <v>0.57999999999999996</v>
          </cell>
          <cell r="AB174">
            <v>0.57999999999999996</v>
          </cell>
          <cell r="AC174">
            <v>0.57999999999999996</v>
          </cell>
          <cell r="AD174">
            <v>0.57999999999999996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0.57999999999999996</v>
          </cell>
          <cell r="Q175">
            <v>0.57999999999999996</v>
          </cell>
          <cell r="R175">
            <v>0.57999999999999996</v>
          </cell>
          <cell r="S175">
            <v>0.57999999999999996</v>
          </cell>
          <cell r="T175">
            <v>0.57999999999999996</v>
          </cell>
          <cell r="U175">
            <v>0.57999999999999996</v>
          </cell>
          <cell r="V175">
            <v>0.57999999999999996</v>
          </cell>
          <cell r="W175">
            <v>0.57999999999999996</v>
          </cell>
          <cell r="X175">
            <v>0.57999999999999996</v>
          </cell>
          <cell r="Y175">
            <v>0.57999999999999996</v>
          </cell>
          <cell r="Z175">
            <v>0.57999999999999996</v>
          </cell>
          <cell r="AA175">
            <v>0.57999999999999996</v>
          </cell>
          <cell r="AB175">
            <v>0.57999999999999996</v>
          </cell>
          <cell r="AC175">
            <v>0.57999999999999996</v>
          </cell>
          <cell r="AD175">
            <v>0.57999999999999996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0.57999999999999996</v>
          </cell>
          <cell r="Q176">
            <v>0.57999999999999996</v>
          </cell>
          <cell r="R176">
            <v>0.57999999999999996</v>
          </cell>
          <cell r="S176">
            <v>0.57999999999999996</v>
          </cell>
          <cell r="T176">
            <v>0.57999999999999996</v>
          </cell>
          <cell r="U176">
            <v>0.57999999999999996</v>
          </cell>
          <cell r="V176">
            <v>0.57999999999999996</v>
          </cell>
          <cell r="W176">
            <v>0.57999999999999996</v>
          </cell>
          <cell r="X176">
            <v>0.57999999999999996</v>
          </cell>
          <cell r="Y176">
            <v>0.57999999999999996</v>
          </cell>
          <cell r="Z176">
            <v>0.57999999999999996</v>
          </cell>
          <cell r="AA176">
            <v>0.57999999999999996</v>
          </cell>
          <cell r="AB176">
            <v>0.57999999999999996</v>
          </cell>
          <cell r="AC176">
            <v>0.57999999999999996</v>
          </cell>
          <cell r="AD176">
            <v>0.57999999999999996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0.57999999999999996</v>
          </cell>
          <cell r="Q198">
            <v>0.57999999999999996</v>
          </cell>
          <cell r="R198">
            <v>0.57999999999999996</v>
          </cell>
          <cell r="S198">
            <v>0.57999999999999996</v>
          </cell>
          <cell r="T198">
            <v>0.57999999999999996</v>
          </cell>
          <cell r="U198">
            <v>0.57999999999999996</v>
          </cell>
          <cell r="V198">
            <v>0.57999999999999996</v>
          </cell>
          <cell r="W198">
            <v>0.57999999999999996</v>
          </cell>
          <cell r="X198">
            <v>0.57999999999999996</v>
          </cell>
          <cell r="Y198">
            <v>0.57999999999999996</v>
          </cell>
          <cell r="Z198">
            <v>0.57999999999999996</v>
          </cell>
          <cell r="AA198">
            <v>0.57999999999999996</v>
          </cell>
          <cell r="AB198">
            <v>0.57999999999999996</v>
          </cell>
          <cell r="AC198">
            <v>0.57999999999999996</v>
          </cell>
          <cell r="AD198">
            <v>0.57999999999999996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0.77</v>
          </cell>
          <cell r="BR198">
            <v>0.77</v>
          </cell>
          <cell r="BS198">
            <v>0.77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0.57999999999999996</v>
          </cell>
          <cell r="Q199">
            <v>0.57999999999999996</v>
          </cell>
          <cell r="R199">
            <v>0.57999999999999996</v>
          </cell>
          <cell r="S199">
            <v>0.57999999999999996</v>
          </cell>
          <cell r="T199">
            <v>0.57999999999999996</v>
          </cell>
          <cell r="U199">
            <v>0.57999999999999996</v>
          </cell>
          <cell r="V199">
            <v>0.57999999999999996</v>
          </cell>
          <cell r="W199">
            <v>0.57999999999999996</v>
          </cell>
          <cell r="X199">
            <v>0.57999999999999996</v>
          </cell>
          <cell r="Y199">
            <v>0.57999999999999996</v>
          </cell>
          <cell r="Z199">
            <v>0.57999999999999996</v>
          </cell>
          <cell r="AA199">
            <v>0.57999999999999996</v>
          </cell>
          <cell r="AB199">
            <v>0.57999999999999996</v>
          </cell>
          <cell r="AC199">
            <v>0.57999999999999996</v>
          </cell>
          <cell r="AD199">
            <v>0.57999999999999996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0.77</v>
          </cell>
          <cell r="BR199">
            <v>0.77</v>
          </cell>
          <cell r="BS199">
            <v>0.77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0.57999999999999996</v>
          </cell>
          <cell r="Q200">
            <v>0.57999999999999996</v>
          </cell>
          <cell r="R200">
            <v>0.57999999999999996</v>
          </cell>
          <cell r="S200">
            <v>0.57999999999999996</v>
          </cell>
          <cell r="T200">
            <v>0.57999999999999996</v>
          </cell>
          <cell r="U200">
            <v>0.57999999999999996</v>
          </cell>
          <cell r="V200">
            <v>0.57999999999999996</v>
          </cell>
          <cell r="W200">
            <v>0.57999999999999996</v>
          </cell>
          <cell r="X200">
            <v>0.57999999999999996</v>
          </cell>
          <cell r="Y200">
            <v>0.57999999999999996</v>
          </cell>
          <cell r="Z200">
            <v>0.57999999999999996</v>
          </cell>
          <cell r="AA200">
            <v>0.57999999999999996</v>
          </cell>
          <cell r="AB200">
            <v>0.57999999999999996</v>
          </cell>
          <cell r="AC200">
            <v>0.57999999999999996</v>
          </cell>
          <cell r="AD200">
            <v>0.57999999999999996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0.77</v>
          </cell>
          <cell r="BR200">
            <v>0.77</v>
          </cell>
          <cell r="BS200">
            <v>0.77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0.57999999999999996</v>
          </cell>
          <cell r="Q201">
            <v>0.57999999999999996</v>
          </cell>
          <cell r="R201">
            <v>0.57999999999999996</v>
          </cell>
          <cell r="S201">
            <v>0.57999999999999996</v>
          </cell>
          <cell r="T201">
            <v>0.57999999999999996</v>
          </cell>
          <cell r="U201">
            <v>0.57999999999999996</v>
          </cell>
          <cell r="V201">
            <v>0.57999999999999996</v>
          </cell>
          <cell r="W201">
            <v>0.57999999999999996</v>
          </cell>
          <cell r="X201">
            <v>0.57999999999999996</v>
          </cell>
          <cell r="Y201">
            <v>0.57999999999999996</v>
          </cell>
          <cell r="Z201">
            <v>0.57999999999999996</v>
          </cell>
          <cell r="AA201">
            <v>0.57999999999999996</v>
          </cell>
          <cell r="AB201">
            <v>0.57999999999999996</v>
          </cell>
          <cell r="AC201">
            <v>0.57999999999999996</v>
          </cell>
          <cell r="AD201">
            <v>0.57999999999999996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0.77</v>
          </cell>
          <cell r="BR201">
            <v>0.77</v>
          </cell>
          <cell r="BS201">
            <v>0.77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0.57999999999999996</v>
          </cell>
          <cell r="Q202">
            <v>0.57999999999999996</v>
          </cell>
          <cell r="R202">
            <v>0.57999999999999996</v>
          </cell>
          <cell r="S202">
            <v>0.57999999999999996</v>
          </cell>
          <cell r="T202">
            <v>0.57999999999999996</v>
          </cell>
          <cell r="U202">
            <v>0.57999999999999996</v>
          </cell>
          <cell r="V202">
            <v>0.57999999999999996</v>
          </cell>
          <cell r="W202">
            <v>0.57999999999999996</v>
          </cell>
          <cell r="X202">
            <v>0.57999999999999996</v>
          </cell>
          <cell r="Y202">
            <v>0.57999999999999996</v>
          </cell>
          <cell r="Z202">
            <v>0.57999999999999996</v>
          </cell>
          <cell r="AA202">
            <v>0.57999999999999996</v>
          </cell>
          <cell r="AB202">
            <v>0.57999999999999996</v>
          </cell>
          <cell r="AC202">
            <v>0.57999999999999996</v>
          </cell>
          <cell r="AD202">
            <v>0.57999999999999996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0.77</v>
          </cell>
          <cell r="BR202">
            <v>0.77</v>
          </cell>
          <cell r="BS202">
            <v>0.77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0.57999999999999996</v>
          </cell>
          <cell r="Q203">
            <v>0.57999999999999996</v>
          </cell>
          <cell r="R203">
            <v>0.57999999999999996</v>
          </cell>
          <cell r="S203">
            <v>0.57999999999999996</v>
          </cell>
          <cell r="T203">
            <v>0.57999999999999996</v>
          </cell>
          <cell r="U203">
            <v>0.57999999999999996</v>
          </cell>
          <cell r="V203">
            <v>0.57999999999999996</v>
          </cell>
          <cell r="W203">
            <v>0.57999999999999996</v>
          </cell>
          <cell r="X203">
            <v>0.57999999999999996</v>
          </cell>
          <cell r="Y203">
            <v>0.57999999999999996</v>
          </cell>
          <cell r="Z203">
            <v>0.57999999999999996</v>
          </cell>
          <cell r="AA203">
            <v>0.57999999999999996</v>
          </cell>
          <cell r="AB203">
            <v>0.57999999999999996</v>
          </cell>
          <cell r="AC203">
            <v>0.57999999999999996</v>
          </cell>
          <cell r="AD203">
            <v>0.57999999999999996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0.77</v>
          </cell>
          <cell r="BR203">
            <v>0.77</v>
          </cell>
          <cell r="BS203">
            <v>0.77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0.57999999999999996</v>
          </cell>
          <cell r="Q204">
            <v>0.57999999999999996</v>
          </cell>
          <cell r="R204">
            <v>0.57999999999999996</v>
          </cell>
          <cell r="S204">
            <v>0.57999999999999996</v>
          </cell>
          <cell r="T204">
            <v>0.57999999999999996</v>
          </cell>
          <cell r="U204">
            <v>0.57999999999999996</v>
          </cell>
          <cell r="V204">
            <v>0.57999999999999996</v>
          </cell>
          <cell r="W204">
            <v>0.57999999999999996</v>
          </cell>
          <cell r="X204">
            <v>0.57999999999999996</v>
          </cell>
          <cell r="Y204">
            <v>0.57999999999999996</v>
          </cell>
          <cell r="Z204">
            <v>0.57999999999999996</v>
          </cell>
          <cell r="AA204">
            <v>0.57999999999999996</v>
          </cell>
          <cell r="AB204">
            <v>0.57999999999999996</v>
          </cell>
          <cell r="AC204">
            <v>0.57999999999999996</v>
          </cell>
          <cell r="AD204">
            <v>0.57999999999999996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0.77</v>
          </cell>
          <cell r="BR204">
            <v>0.77</v>
          </cell>
          <cell r="BS204">
            <v>0.77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0.57999999999999996</v>
          </cell>
          <cell r="Q205">
            <v>0.57999999999999996</v>
          </cell>
          <cell r="R205">
            <v>0.57999999999999996</v>
          </cell>
          <cell r="S205">
            <v>0.57999999999999996</v>
          </cell>
          <cell r="T205">
            <v>0.57999999999999996</v>
          </cell>
          <cell r="U205">
            <v>0.57999999999999996</v>
          </cell>
          <cell r="V205">
            <v>0.57999999999999996</v>
          </cell>
          <cell r="W205">
            <v>0.57999999999999996</v>
          </cell>
          <cell r="X205">
            <v>0.57999999999999996</v>
          </cell>
          <cell r="Y205">
            <v>0.57999999999999996</v>
          </cell>
          <cell r="Z205">
            <v>0.57999999999999996</v>
          </cell>
          <cell r="AA205">
            <v>0.57999999999999996</v>
          </cell>
          <cell r="AB205">
            <v>0.57999999999999996</v>
          </cell>
          <cell r="AC205">
            <v>0.57999999999999996</v>
          </cell>
          <cell r="AD205">
            <v>0.57999999999999996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0.77</v>
          </cell>
          <cell r="BR205">
            <v>0.77</v>
          </cell>
          <cell r="BS205">
            <v>0.77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0.57999999999999996</v>
          </cell>
          <cell r="Q206">
            <v>0.57999999999999996</v>
          </cell>
          <cell r="R206">
            <v>0.57999999999999996</v>
          </cell>
          <cell r="S206">
            <v>0.57999999999999996</v>
          </cell>
          <cell r="T206">
            <v>0.57999999999999996</v>
          </cell>
          <cell r="U206">
            <v>0.57999999999999996</v>
          </cell>
          <cell r="V206">
            <v>0.57999999999999996</v>
          </cell>
          <cell r="W206">
            <v>0.57999999999999996</v>
          </cell>
          <cell r="X206">
            <v>0.57999999999999996</v>
          </cell>
          <cell r="Y206">
            <v>0.57999999999999996</v>
          </cell>
          <cell r="Z206">
            <v>0.57999999999999996</v>
          </cell>
          <cell r="AA206">
            <v>0.57999999999999996</v>
          </cell>
          <cell r="AB206">
            <v>0.57999999999999996</v>
          </cell>
          <cell r="AC206">
            <v>0.57999999999999996</v>
          </cell>
          <cell r="AD206">
            <v>0.57999999999999996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0.77</v>
          </cell>
          <cell r="BR206">
            <v>0.77</v>
          </cell>
          <cell r="BS206">
            <v>0.77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0.57999999999999996</v>
          </cell>
          <cell r="Q288">
            <v>0.57999999999999996</v>
          </cell>
          <cell r="R288">
            <v>0.57999999999999996</v>
          </cell>
          <cell r="S288">
            <v>0.57999999999999996</v>
          </cell>
          <cell r="T288">
            <v>0.57999999999999996</v>
          </cell>
          <cell r="U288">
            <v>0.57999999999999996</v>
          </cell>
          <cell r="V288">
            <v>0.57999999999999996</v>
          </cell>
          <cell r="W288">
            <v>0.57999999999999996</v>
          </cell>
          <cell r="X288">
            <v>0.57999999999999996</v>
          </cell>
          <cell r="Y288">
            <v>0.57999999999999996</v>
          </cell>
          <cell r="Z288">
            <v>0.57999999999999996</v>
          </cell>
          <cell r="AA288">
            <v>0.57999999999999996</v>
          </cell>
          <cell r="AB288">
            <v>0.57999999999999996</v>
          </cell>
          <cell r="AC288">
            <v>0.57999999999999996</v>
          </cell>
          <cell r="AD288">
            <v>0.57999999999999996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0.77</v>
          </cell>
          <cell r="BR288">
            <v>0.77</v>
          </cell>
          <cell r="BS288">
            <v>0.77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0.57999999999999996</v>
          </cell>
          <cell r="Q289">
            <v>0.57999999999999996</v>
          </cell>
          <cell r="R289">
            <v>0.57999999999999996</v>
          </cell>
          <cell r="S289">
            <v>0.57999999999999996</v>
          </cell>
          <cell r="T289">
            <v>0.57999999999999996</v>
          </cell>
          <cell r="U289">
            <v>0.57999999999999996</v>
          </cell>
          <cell r="V289">
            <v>0.57999999999999996</v>
          </cell>
          <cell r="W289">
            <v>0.57999999999999996</v>
          </cell>
          <cell r="X289">
            <v>0.57999999999999996</v>
          </cell>
          <cell r="Y289">
            <v>0.57999999999999996</v>
          </cell>
          <cell r="Z289">
            <v>0.57999999999999996</v>
          </cell>
          <cell r="AA289">
            <v>0.57999999999999996</v>
          </cell>
          <cell r="AB289">
            <v>0.57999999999999996</v>
          </cell>
          <cell r="AC289">
            <v>0.57999999999999996</v>
          </cell>
          <cell r="AD289">
            <v>0.57999999999999996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0.77</v>
          </cell>
          <cell r="BR289">
            <v>0.77</v>
          </cell>
          <cell r="BS289">
            <v>0.77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0.57999999999999996</v>
          </cell>
          <cell r="Q290">
            <v>0.57999999999999996</v>
          </cell>
          <cell r="R290">
            <v>0.57999999999999996</v>
          </cell>
          <cell r="S290">
            <v>0.57999999999999996</v>
          </cell>
          <cell r="T290">
            <v>0.57999999999999996</v>
          </cell>
          <cell r="U290">
            <v>0.57999999999999996</v>
          </cell>
          <cell r="V290">
            <v>0.57999999999999996</v>
          </cell>
          <cell r="W290">
            <v>0.57999999999999996</v>
          </cell>
          <cell r="X290">
            <v>0.57999999999999996</v>
          </cell>
          <cell r="Y290">
            <v>0.57999999999999996</v>
          </cell>
          <cell r="Z290">
            <v>0.57999999999999996</v>
          </cell>
          <cell r="AA290">
            <v>0.57999999999999996</v>
          </cell>
          <cell r="AB290">
            <v>0.57999999999999996</v>
          </cell>
          <cell r="AC290">
            <v>0.57999999999999996</v>
          </cell>
          <cell r="AD290">
            <v>0.57999999999999996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0.77</v>
          </cell>
          <cell r="BR290">
            <v>0.77</v>
          </cell>
          <cell r="BS290">
            <v>0.77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0.57999999999999996</v>
          </cell>
          <cell r="Q291">
            <v>0.57999999999999996</v>
          </cell>
          <cell r="R291">
            <v>0.57999999999999996</v>
          </cell>
          <cell r="S291">
            <v>0.57999999999999996</v>
          </cell>
          <cell r="T291">
            <v>0.57999999999999996</v>
          </cell>
          <cell r="U291">
            <v>0.57999999999999996</v>
          </cell>
          <cell r="V291">
            <v>0.57999999999999996</v>
          </cell>
          <cell r="W291">
            <v>0.57999999999999996</v>
          </cell>
          <cell r="X291">
            <v>0.57999999999999996</v>
          </cell>
          <cell r="Y291">
            <v>0.57999999999999996</v>
          </cell>
          <cell r="Z291">
            <v>0.57999999999999996</v>
          </cell>
          <cell r="AA291">
            <v>0.57999999999999996</v>
          </cell>
          <cell r="AB291">
            <v>0.57999999999999996</v>
          </cell>
          <cell r="AC291">
            <v>0.57999999999999996</v>
          </cell>
          <cell r="AD291">
            <v>0.57999999999999996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0.77</v>
          </cell>
          <cell r="BR291">
            <v>0.77</v>
          </cell>
          <cell r="BS291">
            <v>0.77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0.57999999999999996</v>
          </cell>
          <cell r="Q292">
            <v>0.57999999999999996</v>
          </cell>
          <cell r="R292">
            <v>0.57999999999999996</v>
          </cell>
          <cell r="S292">
            <v>0.57999999999999996</v>
          </cell>
          <cell r="T292">
            <v>0.57999999999999996</v>
          </cell>
          <cell r="U292">
            <v>0.57999999999999996</v>
          </cell>
          <cell r="V292">
            <v>0.57999999999999996</v>
          </cell>
          <cell r="W292">
            <v>0.57999999999999996</v>
          </cell>
          <cell r="X292">
            <v>0.57999999999999996</v>
          </cell>
          <cell r="Y292">
            <v>0.57999999999999996</v>
          </cell>
          <cell r="Z292">
            <v>0.57999999999999996</v>
          </cell>
          <cell r="AA292">
            <v>0.57999999999999996</v>
          </cell>
          <cell r="AB292">
            <v>0.57999999999999996</v>
          </cell>
          <cell r="AC292">
            <v>0.57999999999999996</v>
          </cell>
          <cell r="AD292">
            <v>0.57999999999999996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0.77</v>
          </cell>
          <cell r="BR292">
            <v>0.77</v>
          </cell>
          <cell r="BS292">
            <v>0.77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0.57999999999999996</v>
          </cell>
          <cell r="Q293">
            <v>0.57999999999999996</v>
          </cell>
          <cell r="R293">
            <v>0.57999999999999996</v>
          </cell>
          <cell r="S293">
            <v>0.57999999999999996</v>
          </cell>
          <cell r="T293">
            <v>0.57999999999999996</v>
          </cell>
          <cell r="U293">
            <v>0.57999999999999996</v>
          </cell>
          <cell r="V293">
            <v>0.57999999999999996</v>
          </cell>
          <cell r="W293">
            <v>0.57999999999999996</v>
          </cell>
          <cell r="X293">
            <v>0.57999999999999996</v>
          </cell>
          <cell r="Y293">
            <v>0.57999999999999996</v>
          </cell>
          <cell r="Z293">
            <v>0.57999999999999996</v>
          </cell>
          <cell r="AA293">
            <v>0.57999999999999996</v>
          </cell>
          <cell r="AB293">
            <v>0.57999999999999996</v>
          </cell>
          <cell r="AC293">
            <v>0.57999999999999996</v>
          </cell>
          <cell r="AD293">
            <v>0.57999999999999996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0.77</v>
          </cell>
          <cell r="BR293">
            <v>0.77</v>
          </cell>
          <cell r="BS293">
            <v>0.77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0.57999999999999996</v>
          </cell>
          <cell r="Q294">
            <v>0.57999999999999996</v>
          </cell>
          <cell r="R294">
            <v>0.57999999999999996</v>
          </cell>
          <cell r="S294">
            <v>0.57999999999999996</v>
          </cell>
          <cell r="T294">
            <v>0.57999999999999996</v>
          </cell>
          <cell r="U294">
            <v>0.57999999999999996</v>
          </cell>
          <cell r="V294">
            <v>0.57999999999999996</v>
          </cell>
          <cell r="W294">
            <v>0.57999999999999996</v>
          </cell>
          <cell r="X294">
            <v>0.57999999999999996</v>
          </cell>
          <cell r="Y294">
            <v>0.57999999999999996</v>
          </cell>
          <cell r="Z294">
            <v>0.57999999999999996</v>
          </cell>
          <cell r="AA294">
            <v>0.57999999999999996</v>
          </cell>
          <cell r="AB294">
            <v>0.57999999999999996</v>
          </cell>
          <cell r="AC294">
            <v>0.57999999999999996</v>
          </cell>
          <cell r="AD294">
            <v>0.57999999999999996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0.77</v>
          </cell>
          <cell r="BR294">
            <v>0.77</v>
          </cell>
          <cell r="BS294">
            <v>0.77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0.57999999999999996</v>
          </cell>
          <cell r="Q295">
            <v>0.57999999999999996</v>
          </cell>
          <cell r="R295">
            <v>0.57999999999999996</v>
          </cell>
          <cell r="S295">
            <v>0.57999999999999996</v>
          </cell>
          <cell r="T295">
            <v>0.57999999999999996</v>
          </cell>
          <cell r="U295">
            <v>0.57999999999999996</v>
          </cell>
          <cell r="V295">
            <v>0.57999999999999996</v>
          </cell>
          <cell r="W295">
            <v>0.57999999999999996</v>
          </cell>
          <cell r="X295">
            <v>0.57999999999999996</v>
          </cell>
          <cell r="Y295">
            <v>0.57999999999999996</v>
          </cell>
          <cell r="Z295">
            <v>0.57999999999999996</v>
          </cell>
          <cell r="AA295">
            <v>0.57999999999999996</v>
          </cell>
          <cell r="AB295">
            <v>0.57999999999999996</v>
          </cell>
          <cell r="AC295">
            <v>0.57999999999999996</v>
          </cell>
          <cell r="AD295">
            <v>0.57999999999999996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0.77</v>
          </cell>
          <cell r="BR295">
            <v>0.77</v>
          </cell>
          <cell r="BS295">
            <v>0.77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0.57999999999999996</v>
          </cell>
          <cell r="Q296">
            <v>0.57999999999999996</v>
          </cell>
          <cell r="R296">
            <v>0.57999999999999996</v>
          </cell>
          <cell r="S296">
            <v>0.57999999999999996</v>
          </cell>
          <cell r="T296">
            <v>0.57999999999999996</v>
          </cell>
          <cell r="U296">
            <v>0.57999999999999996</v>
          </cell>
          <cell r="V296">
            <v>0.57999999999999996</v>
          </cell>
          <cell r="W296">
            <v>0.57999999999999996</v>
          </cell>
          <cell r="X296">
            <v>0.57999999999999996</v>
          </cell>
          <cell r="Y296">
            <v>0.57999999999999996</v>
          </cell>
          <cell r="Z296">
            <v>0.57999999999999996</v>
          </cell>
          <cell r="AA296">
            <v>0.57999999999999996</v>
          </cell>
          <cell r="AB296">
            <v>0.57999999999999996</v>
          </cell>
          <cell r="AC296">
            <v>0.57999999999999996</v>
          </cell>
          <cell r="AD296">
            <v>0.57999999999999996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0.77</v>
          </cell>
          <cell r="BR296">
            <v>0.77</v>
          </cell>
          <cell r="BS296">
            <v>0.77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0.57999999999999996</v>
          </cell>
          <cell r="Q318">
            <v>0.57999999999999996</v>
          </cell>
          <cell r="R318">
            <v>0.57999999999999996</v>
          </cell>
          <cell r="S318">
            <v>0.57999999999999996</v>
          </cell>
          <cell r="T318">
            <v>0.57999999999999996</v>
          </cell>
          <cell r="U318">
            <v>0.57999999999999996</v>
          </cell>
          <cell r="V318">
            <v>0.57999999999999996</v>
          </cell>
          <cell r="W318">
            <v>0.57999999999999996</v>
          </cell>
          <cell r="X318">
            <v>0.57999999999999996</v>
          </cell>
          <cell r="Y318">
            <v>0.57999999999999996</v>
          </cell>
          <cell r="Z318">
            <v>0.57999999999999996</v>
          </cell>
          <cell r="AA318">
            <v>0.57999999999999996</v>
          </cell>
          <cell r="AB318">
            <v>0.57999999999999996</v>
          </cell>
          <cell r="AC318">
            <v>0.57999999999999996</v>
          </cell>
          <cell r="AD318">
            <v>0.57999999999999996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0.57999999999999996</v>
          </cell>
          <cell r="Q319">
            <v>0.57999999999999996</v>
          </cell>
          <cell r="R319">
            <v>0.57999999999999996</v>
          </cell>
          <cell r="S319">
            <v>0.57999999999999996</v>
          </cell>
          <cell r="T319">
            <v>0.57999999999999996</v>
          </cell>
          <cell r="U319">
            <v>0.57999999999999996</v>
          </cell>
          <cell r="V319">
            <v>0.57999999999999996</v>
          </cell>
          <cell r="W319">
            <v>0.57999999999999996</v>
          </cell>
          <cell r="X319">
            <v>0.57999999999999996</v>
          </cell>
          <cell r="Y319">
            <v>0.57999999999999996</v>
          </cell>
          <cell r="Z319">
            <v>0.57999999999999996</v>
          </cell>
          <cell r="AA319">
            <v>0.57999999999999996</v>
          </cell>
          <cell r="AB319">
            <v>0.57999999999999996</v>
          </cell>
          <cell r="AC319">
            <v>0.57999999999999996</v>
          </cell>
          <cell r="AD319">
            <v>0.57999999999999996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0.57999999999999996</v>
          </cell>
          <cell r="Q320">
            <v>0.57999999999999996</v>
          </cell>
          <cell r="R320">
            <v>0.57999999999999996</v>
          </cell>
          <cell r="S320">
            <v>0.57999999999999996</v>
          </cell>
          <cell r="T320">
            <v>0.57999999999999996</v>
          </cell>
          <cell r="U320">
            <v>0.57999999999999996</v>
          </cell>
          <cell r="V320">
            <v>0.57999999999999996</v>
          </cell>
          <cell r="W320">
            <v>0.57999999999999996</v>
          </cell>
          <cell r="X320">
            <v>0.57999999999999996</v>
          </cell>
          <cell r="Y320">
            <v>0.57999999999999996</v>
          </cell>
          <cell r="Z320">
            <v>0.57999999999999996</v>
          </cell>
          <cell r="AA320">
            <v>0.57999999999999996</v>
          </cell>
          <cell r="AB320">
            <v>0.57999999999999996</v>
          </cell>
          <cell r="AC320">
            <v>0.57999999999999996</v>
          </cell>
          <cell r="AD320">
            <v>0.57999999999999996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0.57999999999999996</v>
          </cell>
          <cell r="Q321">
            <v>0.57999999999999996</v>
          </cell>
          <cell r="R321">
            <v>0.57999999999999996</v>
          </cell>
          <cell r="S321">
            <v>0.57999999999999996</v>
          </cell>
          <cell r="T321">
            <v>0.57999999999999996</v>
          </cell>
          <cell r="U321">
            <v>0.57999999999999996</v>
          </cell>
          <cell r="V321">
            <v>0.57999999999999996</v>
          </cell>
          <cell r="W321">
            <v>0.57999999999999996</v>
          </cell>
          <cell r="X321">
            <v>0.57999999999999996</v>
          </cell>
          <cell r="Y321">
            <v>0.57999999999999996</v>
          </cell>
          <cell r="Z321">
            <v>0.57999999999999996</v>
          </cell>
          <cell r="AA321">
            <v>0.57999999999999996</v>
          </cell>
          <cell r="AB321">
            <v>0.57999999999999996</v>
          </cell>
          <cell r="AC321">
            <v>0.57999999999999996</v>
          </cell>
          <cell r="AD321">
            <v>0.57999999999999996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0.57999999999999996</v>
          </cell>
          <cell r="Q322">
            <v>0.57999999999999996</v>
          </cell>
          <cell r="R322">
            <v>0.57999999999999996</v>
          </cell>
          <cell r="S322">
            <v>0.57999999999999996</v>
          </cell>
          <cell r="T322">
            <v>0.57999999999999996</v>
          </cell>
          <cell r="U322">
            <v>0.57999999999999996</v>
          </cell>
          <cell r="V322">
            <v>0.57999999999999996</v>
          </cell>
          <cell r="W322">
            <v>0.57999999999999996</v>
          </cell>
          <cell r="X322">
            <v>0.57999999999999996</v>
          </cell>
          <cell r="Y322">
            <v>0.57999999999999996</v>
          </cell>
          <cell r="Z322">
            <v>0.57999999999999996</v>
          </cell>
          <cell r="AA322">
            <v>0.57999999999999996</v>
          </cell>
          <cell r="AB322">
            <v>0.57999999999999996</v>
          </cell>
          <cell r="AC322">
            <v>0.57999999999999996</v>
          </cell>
          <cell r="AD322">
            <v>0.57999999999999996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0.57999999999999996</v>
          </cell>
          <cell r="Q323">
            <v>0.57999999999999996</v>
          </cell>
          <cell r="R323">
            <v>0.57999999999999996</v>
          </cell>
          <cell r="S323">
            <v>0.57999999999999996</v>
          </cell>
          <cell r="T323">
            <v>0.57999999999999996</v>
          </cell>
          <cell r="U323">
            <v>0.57999999999999996</v>
          </cell>
          <cell r="V323">
            <v>0.57999999999999996</v>
          </cell>
          <cell r="W323">
            <v>0.57999999999999996</v>
          </cell>
          <cell r="X323">
            <v>0.57999999999999996</v>
          </cell>
          <cell r="Y323">
            <v>0.57999999999999996</v>
          </cell>
          <cell r="Z323">
            <v>0.57999999999999996</v>
          </cell>
          <cell r="AA323">
            <v>0.57999999999999996</v>
          </cell>
          <cell r="AB323">
            <v>0.57999999999999996</v>
          </cell>
          <cell r="AC323">
            <v>0.57999999999999996</v>
          </cell>
          <cell r="AD323">
            <v>0.57999999999999996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0.57999999999999996</v>
          </cell>
          <cell r="Q324">
            <v>0.57999999999999996</v>
          </cell>
          <cell r="R324">
            <v>0.57999999999999996</v>
          </cell>
          <cell r="S324">
            <v>0.57999999999999996</v>
          </cell>
          <cell r="T324">
            <v>0.57999999999999996</v>
          </cell>
          <cell r="U324">
            <v>0.57999999999999996</v>
          </cell>
          <cell r="V324">
            <v>0.57999999999999996</v>
          </cell>
          <cell r="W324">
            <v>0.57999999999999996</v>
          </cell>
          <cell r="X324">
            <v>0.57999999999999996</v>
          </cell>
          <cell r="Y324">
            <v>0.57999999999999996</v>
          </cell>
          <cell r="Z324">
            <v>0.57999999999999996</v>
          </cell>
          <cell r="AA324">
            <v>0.57999999999999996</v>
          </cell>
          <cell r="AB324">
            <v>0.57999999999999996</v>
          </cell>
          <cell r="AC324">
            <v>0.57999999999999996</v>
          </cell>
          <cell r="AD324">
            <v>0.57999999999999996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0.57999999999999996</v>
          </cell>
          <cell r="Q325">
            <v>0.57999999999999996</v>
          </cell>
          <cell r="R325">
            <v>0.57999999999999996</v>
          </cell>
          <cell r="S325">
            <v>0.57999999999999996</v>
          </cell>
          <cell r="T325">
            <v>0.57999999999999996</v>
          </cell>
          <cell r="U325">
            <v>0.57999999999999996</v>
          </cell>
          <cell r="V325">
            <v>0.57999999999999996</v>
          </cell>
          <cell r="W325">
            <v>0.57999999999999996</v>
          </cell>
          <cell r="X325">
            <v>0.57999999999999996</v>
          </cell>
          <cell r="Y325">
            <v>0.57999999999999996</v>
          </cell>
          <cell r="Z325">
            <v>0.57999999999999996</v>
          </cell>
          <cell r="AA325">
            <v>0.57999999999999996</v>
          </cell>
          <cell r="AB325">
            <v>0.57999999999999996</v>
          </cell>
          <cell r="AC325">
            <v>0.57999999999999996</v>
          </cell>
          <cell r="AD325">
            <v>0.57999999999999996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0.57999999999999996</v>
          </cell>
          <cell r="Q326">
            <v>0.57999999999999996</v>
          </cell>
          <cell r="R326">
            <v>0.57999999999999996</v>
          </cell>
          <cell r="S326">
            <v>0.57999999999999996</v>
          </cell>
          <cell r="T326">
            <v>0.57999999999999996</v>
          </cell>
          <cell r="U326">
            <v>0.57999999999999996</v>
          </cell>
          <cell r="V326">
            <v>0.57999999999999996</v>
          </cell>
          <cell r="W326">
            <v>0.57999999999999996</v>
          </cell>
          <cell r="X326">
            <v>0.57999999999999996</v>
          </cell>
          <cell r="Y326">
            <v>0.57999999999999996</v>
          </cell>
          <cell r="Z326">
            <v>0.57999999999999996</v>
          </cell>
          <cell r="AA326">
            <v>0.57999999999999996</v>
          </cell>
          <cell r="AB326">
            <v>0.57999999999999996</v>
          </cell>
          <cell r="AC326">
            <v>0.57999999999999996</v>
          </cell>
          <cell r="AD326">
            <v>0.57999999999999996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0.57999999999999996</v>
          </cell>
          <cell r="Q338">
            <v>0.57999999999999996</v>
          </cell>
          <cell r="R338">
            <v>0.57999999999999996</v>
          </cell>
          <cell r="S338">
            <v>0.57999999999999996</v>
          </cell>
          <cell r="T338">
            <v>0.57999999999999996</v>
          </cell>
          <cell r="U338">
            <v>0.57999999999999996</v>
          </cell>
          <cell r="V338">
            <v>0.57999999999999996</v>
          </cell>
          <cell r="W338">
            <v>0.57999999999999996</v>
          </cell>
          <cell r="X338">
            <v>0.57999999999999996</v>
          </cell>
          <cell r="Y338">
            <v>0.57999999999999996</v>
          </cell>
          <cell r="Z338">
            <v>0.57999999999999996</v>
          </cell>
          <cell r="AA338">
            <v>0.57999999999999996</v>
          </cell>
          <cell r="AB338">
            <v>0.57999999999999996</v>
          </cell>
          <cell r="AC338">
            <v>0.57999999999999996</v>
          </cell>
          <cell r="AD338">
            <v>0.57999999999999996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0.57999999999999996</v>
          </cell>
          <cell r="Q339">
            <v>0.57999999999999996</v>
          </cell>
          <cell r="R339">
            <v>0.57999999999999996</v>
          </cell>
          <cell r="S339">
            <v>0.57999999999999996</v>
          </cell>
          <cell r="T339">
            <v>0.57999999999999996</v>
          </cell>
          <cell r="U339">
            <v>0.57999999999999996</v>
          </cell>
          <cell r="V339">
            <v>0.57999999999999996</v>
          </cell>
          <cell r="W339">
            <v>0.57999999999999996</v>
          </cell>
          <cell r="X339">
            <v>0.57999999999999996</v>
          </cell>
          <cell r="Y339">
            <v>0.57999999999999996</v>
          </cell>
          <cell r="Z339">
            <v>0.57999999999999996</v>
          </cell>
          <cell r="AA339">
            <v>0.57999999999999996</v>
          </cell>
          <cell r="AB339">
            <v>0.57999999999999996</v>
          </cell>
          <cell r="AC339">
            <v>0.57999999999999996</v>
          </cell>
          <cell r="AD339">
            <v>0.57999999999999996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0.57999999999999996</v>
          </cell>
          <cell r="Q340">
            <v>0.57999999999999996</v>
          </cell>
          <cell r="R340">
            <v>0.57999999999999996</v>
          </cell>
          <cell r="S340">
            <v>0.57999999999999996</v>
          </cell>
          <cell r="T340">
            <v>0.57999999999999996</v>
          </cell>
          <cell r="U340">
            <v>0.57999999999999996</v>
          </cell>
          <cell r="V340">
            <v>0.57999999999999996</v>
          </cell>
          <cell r="W340">
            <v>0.57999999999999996</v>
          </cell>
          <cell r="X340">
            <v>0.57999999999999996</v>
          </cell>
          <cell r="Y340">
            <v>0.57999999999999996</v>
          </cell>
          <cell r="Z340">
            <v>0.57999999999999996</v>
          </cell>
          <cell r="AA340">
            <v>0.57999999999999996</v>
          </cell>
          <cell r="AB340">
            <v>0.57999999999999996</v>
          </cell>
          <cell r="AC340">
            <v>0.57999999999999996</v>
          </cell>
          <cell r="AD340">
            <v>0.57999999999999996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0.57999999999999996</v>
          </cell>
          <cell r="Q341">
            <v>0.57999999999999996</v>
          </cell>
          <cell r="R341">
            <v>0.57999999999999996</v>
          </cell>
          <cell r="S341">
            <v>0.57999999999999996</v>
          </cell>
          <cell r="T341">
            <v>0.57999999999999996</v>
          </cell>
          <cell r="U341">
            <v>0.57999999999999996</v>
          </cell>
          <cell r="V341">
            <v>0.57999999999999996</v>
          </cell>
          <cell r="W341">
            <v>0.57999999999999996</v>
          </cell>
          <cell r="X341">
            <v>0.57999999999999996</v>
          </cell>
          <cell r="Y341">
            <v>0.57999999999999996</v>
          </cell>
          <cell r="Z341">
            <v>0.57999999999999996</v>
          </cell>
          <cell r="AA341">
            <v>0.57999999999999996</v>
          </cell>
          <cell r="AB341">
            <v>0.57999999999999996</v>
          </cell>
          <cell r="AC341">
            <v>0.57999999999999996</v>
          </cell>
          <cell r="AD341">
            <v>0.57999999999999996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0.57999999999999996</v>
          </cell>
          <cell r="Q342">
            <v>0.57999999999999996</v>
          </cell>
          <cell r="R342">
            <v>0.57999999999999996</v>
          </cell>
          <cell r="S342">
            <v>0.57999999999999996</v>
          </cell>
          <cell r="T342">
            <v>0.57999999999999996</v>
          </cell>
          <cell r="U342">
            <v>0.57999999999999996</v>
          </cell>
          <cell r="V342">
            <v>0.57999999999999996</v>
          </cell>
          <cell r="W342">
            <v>0.57999999999999996</v>
          </cell>
          <cell r="X342">
            <v>0.57999999999999996</v>
          </cell>
          <cell r="Y342">
            <v>0.57999999999999996</v>
          </cell>
          <cell r="Z342">
            <v>0.57999999999999996</v>
          </cell>
          <cell r="AA342">
            <v>0.57999999999999996</v>
          </cell>
          <cell r="AB342">
            <v>0.57999999999999996</v>
          </cell>
          <cell r="AC342">
            <v>0.57999999999999996</v>
          </cell>
          <cell r="AD342">
            <v>0.57999999999999996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0.57999999999999996</v>
          </cell>
          <cell r="Q343">
            <v>0.57999999999999996</v>
          </cell>
          <cell r="R343">
            <v>0.57999999999999996</v>
          </cell>
          <cell r="S343">
            <v>0.57999999999999996</v>
          </cell>
          <cell r="T343">
            <v>0.57999999999999996</v>
          </cell>
          <cell r="U343">
            <v>0.57999999999999996</v>
          </cell>
          <cell r="V343">
            <v>0.57999999999999996</v>
          </cell>
          <cell r="W343">
            <v>0.57999999999999996</v>
          </cell>
          <cell r="X343">
            <v>0.57999999999999996</v>
          </cell>
          <cell r="Y343">
            <v>0.57999999999999996</v>
          </cell>
          <cell r="Z343">
            <v>0.57999999999999996</v>
          </cell>
          <cell r="AA343">
            <v>0.57999999999999996</v>
          </cell>
          <cell r="AB343">
            <v>0.57999999999999996</v>
          </cell>
          <cell r="AC343">
            <v>0.57999999999999996</v>
          </cell>
          <cell r="AD343">
            <v>0.57999999999999996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0.57999999999999996</v>
          </cell>
          <cell r="Q344">
            <v>0.57999999999999996</v>
          </cell>
          <cell r="R344">
            <v>0.57999999999999996</v>
          </cell>
          <cell r="S344">
            <v>0.57999999999999996</v>
          </cell>
          <cell r="T344">
            <v>0.57999999999999996</v>
          </cell>
          <cell r="U344">
            <v>0.57999999999999996</v>
          </cell>
          <cell r="V344">
            <v>0.57999999999999996</v>
          </cell>
          <cell r="W344">
            <v>0.57999999999999996</v>
          </cell>
          <cell r="X344">
            <v>0.57999999999999996</v>
          </cell>
          <cell r="Y344">
            <v>0.57999999999999996</v>
          </cell>
          <cell r="Z344">
            <v>0.57999999999999996</v>
          </cell>
          <cell r="AA344">
            <v>0.57999999999999996</v>
          </cell>
          <cell r="AB344">
            <v>0.57999999999999996</v>
          </cell>
          <cell r="AC344">
            <v>0.57999999999999996</v>
          </cell>
          <cell r="AD344">
            <v>0.57999999999999996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0.57999999999999996</v>
          </cell>
          <cell r="Q345">
            <v>0.57999999999999996</v>
          </cell>
          <cell r="R345">
            <v>0.57999999999999996</v>
          </cell>
          <cell r="S345">
            <v>0.57999999999999996</v>
          </cell>
          <cell r="T345">
            <v>0.57999999999999996</v>
          </cell>
          <cell r="U345">
            <v>0.57999999999999996</v>
          </cell>
          <cell r="V345">
            <v>0.57999999999999996</v>
          </cell>
          <cell r="W345">
            <v>0.57999999999999996</v>
          </cell>
          <cell r="X345">
            <v>0.57999999999999996</v>
          </cell>
          <cell r="Y345">
            <v>0.57999999999999996</v>
          </cell>
          <cell r="Z345">
            <v>0.57999999999999996</v>
          </cell>
          <cell r="AA345">
            <v>0.57999999999999996</v>
          </cell>
          <cell r="AB345">
            <v>0.57999999999999996</v>
          </cell>
          <cell r="AC345">
            <v>0.57999999999999996</v>
          </cell>
          <cell r="AD345">
            <v>0.57999999999999996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0.57999999999999996</v>
          </cell>
          <cell r="Q346">
            <v>0.57999999999999996</v>
          </cell>
          <cell r="R346">
            <v>0.57999999999999996</v>
          </cell>
          <cell r="S346">
            <v>0.57999999999999996</v>
          </cell>
          <cell r="T346">
            <v>0.57999999999999996</v>
          </cell>
          <cell r="U346">
            <v>0.57999999999999996</v>
          </cell>
          <cell r="V346">
            <v>0.57999999999999996</v>
          </cell>
          <cell r="W346">
            <v>0.57999999999999996</v>
          </cell>
          <cell r="X346">
            <v>0.57999999999999996</v>
          </cell>
          <cell r="Y346">
            <v>0.57999999999999996</v>
          </cell>
          <cell r="Z346">
            <v>0.57999999999999996</v>
          </cell>
          <cell r="AA346">
            <v>0.57999999999999996</v>
          </cell>
          <cell r="AB346">
            <v>0.57999999999999996</v>
          </cell>
          <cell r="AC346">
            <v>0.57999999999999996</v>
          </cell>
          <cell r="AD346">
            <v>0.57999999999999996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0.57999999999999996</v>
          </cell>
          <cell r="Q423">
            <v>0.57999999999999996</v>
          </cell>
          <cell r="R423">
            <v>0.57999999999999996</v>
          </cell>
          <cell r="S423">
            <v>0.57999999999999996</v>
          </cell>
          <cell r="T423">
            <v>0.57999999999999996</v>
          </cell>
          <cell r="U423">
            <v>0.57999999999999996</v>
          </cell>
          <cell r="V423">
            <v>0.57999999999999996</v>
          </cell>
          <cell r="W423">
            <v>0.57999999999999996</v>
          </cell>
          <cell r="X423">
            <v>0.57999999999999996</v>
          </cell>
          <cell r="Y423">
            <v>0.57999999999999996</v>
          </cell>
          <cell r="Z423">
            <v>0.57999999999999996</v>
          </cell>
          <cell r="AA423">
            <v>0.57999999999999996</v>
          </cell>
          <cell r="AB423">
            <v>0.57999999999999996</v>
          </cell>
          <cell r="AC423">
            <v>0.57999999999999996</v>
          </cell>
          <cell r="AD423">
            <v>0.57999999999999996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0.57999999999999996</v>
          </cell>
          <cell r="Q424">
            <v>0.57999999999999996</v>
          </cell>
          <cell r="R424">
            <v>0.57999999999999996</v>
          </cell>
          <cell r="S424">
            <v>0.57999999999999996</v>
          </cell>
          <cell r="T424">
            <v>0.57999999999999996</v>
          </cell>
          <cell r="U424">
            <v>0.57999999999999996</v>
          </cell>
          <cell r="V424">
            <v>0.57999999999999996</v>
          </cell>
          <cell r="W424">
            <v>0.57999999999999996</v>
          </cell>
          <cell r="X424">
            <v>0.57999999999999996</v>
          </cell>
          <cell r="Y424">
            <v>0.57999999999999996</v>
          </cell>
          <cell r="Z424">
            <v>0.57999999999999996</v>
          </cell>
          <cell r="AA424">
            <v>0.57999999999999996</v>
          </cell>
          <cell r="AB424">
            <v>0.57999999999999996</v>
          </cell>
          <cell r="AC424">
            <v>0.57999999999999996</v>
          </cell>
          <cell r="AD424">
            <v>0.57999999999999996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0.57999999999999996</v>
          </cell>
          <cell r="Q425">
            <v>0.57999999999999996</v>
          </cell>
          <cell r="R425">
            <v>0.57999999999999996</v>
          </cell>
          <cell r="S425">
            <v>0.57999999999999996</v>
          </cell>
          <cell r="T425">
            <v>0.57999999999999996</v>
          </cell>
          <cell r="U425">
            <v>0.57999999999999996</v>
          </cell>
          <cell r="V425">
            <v>0.57999999999999996</v>
          </cell>
          <cell r="W425">
            <v>0.57999999999999996</v>
          </cell>
          <cell r="X425">
            <v>0.57999999999999996</v>
          </cell>
          <cell r="Y425">
            <v>0.57999999999999996</v>
          </cell>
          <cell r="Z425">
            <v>0.57999999999999996</v>
          </cell>
          <cell r="AA425">
            <v>0.57999999999999996</v>
          </cell>
          <cell r="AB425">
            <v>0.57999999999999996</v>
          </cell>
          <cell r="AC425">
            <v>0.57999999999999996</v>
          </cell>
          <cell r="AD425">
            <v>0.57999999999999996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0.57999999999999996</v>
          </cell>
          <cell r="Q426">
            <v>0.57999999999999996</v>
          </cell>
          <cell r="R426">
            <v>0.57999999999999996</v>
          </cell>
          <cell r="S426">
            <v>0.57999999999999996</v>
          </cell>
          <cell r="T426">
            <v>0.57999999999999996</v>
          </cell>
          <cell r="U426">
            <v>0.57999999999999996</v>
          </cell>
          <cell r="V426">
            <v>0.57999999999999996</v>
          </cell>
          <cell r="W426">
            <v>0.57999999999999996</v>
          </cell>
          <cell r="X426">
            <v>0.57999999999999996</v>
          </cell>
          <cell r="Y426">
            <v>0.57999999999999996</v>
          </cell>
          <cell r="Z426">
            <v>0.57999999999999996</v>
          </cell>
          <cell r="AA426">
            <v>0.57999999999999996</v>
          </cell>
          <cell r="AB426">
            <v>0.57999999999999996</v>
          </cell>
          <cell r="AC426">
            <v>0.57999999999999996</v>
          </cell>
          <cell r="AD426">
            <v>0.57999999999999996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0.57999999999999996</v>
          </cell>
          <cell r="Q427">
            <v>0.57999999999999996</v>
          </cell>
          <cell r="R427">
            <v>0.57999999999999996</v>
          </cell>
          <cell r="S427">
            <v>0.57999999999999996</v>
          </cell>
          <cell r="T427">
            <v>0.57999999999999996</v>
          </cell>
          <cell r="U427">
            <v>0.57999999999999996</v>
          </cell>
          <cell r="V427">
            <v>0.57999999999999996</v>
          </cell>
          <cell r="W427">
            <v>0.57999999999999996</v>
          </cell>
          <cell r="X427">
            <v>0.57999999999999996</v>
          </cell>
          <cell r="Y427">
            <v>0.57999999999999996</v>
          </cell>
          <cell r="Z427">
            <v>0.57999999999999996</v>
          </cell>
          <cell r="AA427">
            <v>0.57999999999999996</v>
          </cell>
          <cell r="AB427">
            <v>0.57999999999999996</v>
          </cell>
          <cell r="AC427">
            <v>0.57999999999999996</v>
          </cell>
          <cell r="AD427">
            <v>0.57999999999999996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0.57999999999999996</v>
          </cell>
          <cell r="Q428">
            <v>0.57999999999999996</v>
          </cell>
          <cell r="R428">
            <v>0.57999999999999996</v>
          </cell>
          <cell r="S428">
            <v>0.57999999999999996</v>
          </cell>
          <cell r="T428">
            <v>0.57999999999999996</v>
          </cell>
          <cell r="U428">
            <v>0.57999999999999996</v>
          </cell>
          <cell r="V428">
            <v>0.57999999999999996</v>
          </cell>
          <cell r="W428">
            <v>0.57999999999999996</v>
          </cell>
          <cell r="X428">
            <v>0.57999999999999996</v>
          </cell>
          <cell r="Y428">
            <v>0.57999999999999996</v>
          </cell>
          <cell r="Z428">
            <v>0.57999999999999996</v>
          </cell>
          <cell r="AA428">
            <v>0.57999999999999996</v>
          </cell>
          <cell r="AB428">
            <v>0.57999999999999996</v>
          </cell>
          <cell r="AC428">
            <v>0.57999999999999996</v>
          </cell>
          <cell r="AD428">
            <v>0.57999999999999996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0.57999999999999996</v>
          </cell>
          <cell r="Q429">
            <v>0.57999999999999996</v>
          </cell>
          <cell r="R429">
            <v>0.57999999999999996</v>
          </cell>
          <cell r="S429">
            <v>0.57999999999999996</v>
          </cell>
          <cell r="T429">
            <v>0.57999999999999996</v>
          </cell>
          <cell r="U429">
            <v>0.57999999999999996</v>
          </cell>
          <cell r="V429">
            <v>0.57999999999999996</v>
          </cell>
          <cell r="W429">
            <v>0.57999999999999996</v>
          </cell>
          <cell r="X429">
            <v>0.57999999999999996</v>
          </cell>
          <cell r="Y429">
            <v>0.57999999999999996</v>
          </cell>
          <cell r="Z429">
            <v>0.57999999999999996</v>
          </cell>
          <cell r="AA429">
            <v>0.57999999999999996</v>
          </cell>
          <cell r="AB429">
            <v>0.57999999999999996</v>
          </cell>
          <cell r="AC429">
            <v>0.57999999999999996</v>
          </cell>
          <cell r="AD429">
            <v>0.57999999999999996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0.57999999999999996</v>
          </cell>
          <cell r="Q430">
            <v>0.57999999999999996</v>
          </cell>
          <cell r="R430">
            <v>0.57999999999999996</v>
          </cell>
          <cell r="S430">
            <v>0.57999999999999996</v>
          </cell>
          <cell r="T430">
            <v>0.57999999999999996</v>
          </cell>
          <cell r="U430">
            <v>0.57999999999999996</v>
          </cell>
          <cell r="V430">
            <v>0.57999999999999996</v>
          </cell>
          <cell r="W430">
            <v>0.57999999999999996</v>
          </cell>
          <cell r="X430">
            <v>0.57999999999999996</v>
          </cell>
          <cell r="Y430">
            <v>0.57999999999999996</v>
          </cell>
          <cell r="Z430">
            <v>0.57999999999999996</v>
          </cell>
          <cell r="AA430">
            <v>0.57999999999999996</v>
          </cell>
          <cell r="AB430">
            <v>0.57999999999999996</v>
          </cell>
          <cell r="AC430">
            <v>0.57999999999999996</v>
          </cell>
          <cell r="AD430">
            <v>0.57999999999999996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0.57999999999999996</v>
          </cell>
          <cell r="Q431">
            <v>0.57999999999999996</v>
          </cell>
          <cell r="R431">
            <v>0.57999999999999996</v>
          </cell>
          <cell r="S431">
            <v>0.57999999999999996</v>
          </cell>
          <cell r="T431">
            <v>0.57999999999999996</v>
          </cell>
          <cell r="U431">
            <v>0.57999999999999996</v>
          </cell>
          <cell r="V431">
            <v>0.57999999999999996</v>
          </cell>
          <cell r="W431">
            <v>0.57999999999999996</v>
          </cell>
          <cell r="X431">
            <v>0.57999999999999996</v>
          </cell>
          <cell r="Y431">
            <v>0.57999999999999996</v>
          </cell>
          <cell r="Z431">
            <v>0.57999999999999996</v>
          </cell>
          <cell r="AA431">
            <v>0.57999999999999996</v>
          </cell>
          <cell r="AB431">
            <v>0.57999999999999996</v>
          </cell>
          <cell r="AC431">
            <v>0.57999999999999996</v>
          </cell>
          <cell r="AD431">
            <v>0.57999999999999996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1125.02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14607.454191704841</v>
          </cell>
        </row>
        <row r="84">
          <cell r="AJ84">
            <v>16.950649101050711</v>
          </cell>
        </row>
        <row r="87">
          <cell r="C87">
            <v>208.58546345378579</v>
          </cell>
          <cell r="I87">
            <v>162.50395957971674</v>
          </cell>
          <cell r="M87">
            <v>153.9773940246688</v>
          </cell>
        </row>
        <row r="88">
          <cell r="I88">
            <v>46.08150387406905</v>
          </cell>
          <cell r="M88">
            <v>44.08150387406905</v>
          </cell>
        </row>
        <row r="117">
          <cell r="A117">
            <v>144.52017266513039</v>
          </cell>
        </row>
        <row r="136">
          <cell r="A136">
            <v>208.58546345378579</v>
          </cell>
        </row>
        <row r="141">
          <cell r="A141">
            <v>27227.93483812482</v>
          </cell>
        </row>
        <row r="142">
          <cell r="A142">
            <v>14607.454191704841</v>
          </cell>
        </row>
        <row r="149">
          <cell r="A149">
            <v>196.04094114227576</v>
          </cell>
        </row>
        <row r="150">
          <cell r="A150">
            <v>16.950649101050711</v>
          </cell>
        </row>
        <row r="157">
          <cell r="A157">
            <v>0</v>
          </cell>
        </row>
        <row r="160">
          <cell r="A160">
            <v>1125.02</v>
          </cell>
        </row>
        <row r="161">
          <cell r="A161">
            <v>1125.02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5">
          <cell r="C5">
            <v>4474699</v>
          </cell>
        </row>
      </sheetData>
      <sheetData sheetId="21" refreshError="1"/>
      <sheetData sheetId="2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ONS"/>
      <sheetName val="Ind GDP Mark 1995"/>
      <sheetName val="IND GDP MARK 2005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2006-2009"/>
      <sheetName val="Industry VA"/>
      <sheetName val="Sources"/>
      <sheetName val="Industry desription"/>
      <sheetName val="SIC codes"/>
      <sheetName val="1992-2006 industry"/>
      <sheetName val="digest "/>
      <sheetName val="disagg to agg balance"/>
      <sheetName val="DMR1"/>
      <sheetName val="mining general info"/>
      <sheetName val="DMR2"/>
      <sheetName val="I&amp;S"/>
      <sheetName val="Sheet1"/>
      <sheetName val="sector production graphs"/>
      <sheetName val="Industrial expansion EN"/>
      <sheetName val="End uses"/>
      <sheetName val="EIA end use"/>
      <sheetName val="Aluminium"/>
      <sheetName val="Eskom sales data"/>
      <sheetName val="Eskom Annual YB"/>
      <sheetName val="eskom yb sector sales"/>
      <sheetName val="Sheet2"/>
      <sheetName val="NERSA Elec"/>
      <sheetName val="REPORT TABLES"/>
      <sheetName val="ADRIAN IGNORE"/>
      <sheetName val="ELEC CALCS ADRIAN IGNORE"/>
      <sheetName val="IND IS"/>
      <sheetName val="DOE 2006 native units"/>
      <sheetName val="Coking coal"/>
      <sheetName val="RES"/>
      <sheetName val="Sheet4"/>
      <sheetName val="Drivers GDP- NOT USED FOR SATIM"/>
      <sheetName val="Industry elasticities"/>
      <sheetName val="Intensitiy"/>
      <sheetName val="Energy calcs Low GDP"/>
      <sheetName val="Final energy low GDP"/>
      <sheetName val="elec forecast"/>
      <sheetName val="Cost Curves"/>
      <sheetName val="COGEN"/>
      <sheetName val="Sc1 Standards"/>
      <sheetName val="Payback from EIA"/>
      <sheetName val="Sc2 Audits"/>
      <sheetName val="Sc3 En Man"/>
      <sheetName val="Sc4 Accreditation"/>
      <sheetName val="Sc5 Education"/>
      <sheetName val="Sc6 NEEA"/>
      <sheetName val="Sc7 Finance"/>
      <sheetName val="Leap Inputs"/>
      <sheetName val="elec inputs"/>
      <sheetName val="IND"/>
      <sheetName val="NameConv"/>
      <sheetName val="ITEMS_Tech"/>
      <sheetName val="TS DTech"/>
      <sheetName val="TS DMARK"/>
      <sheetName val="TID DTech"/>
      <sheetName val="ITEMS_Comm"/>
      <sheetName val="TS BYDem"/>
      <sheetName val="TS COMFRN"/>
      <sheetName val="TS COMFR"/>
      <sheetName val="TS FTech"/>
      <sheetName val="TID FTech"/>
      <sheetName val="TS Emiss"/>
      <sheetName val="TID Emiss"/>
      <sheetName val="AF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1">
          <cell r="F1">
            <v>1E-8</v>
          </cell>
        </row>
      </sheetData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_Emi"/>
      <sheetName val="AGR"/>
      <sheetName val="RES_Fuels"/>
      <sheetName val="RES_Emi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OM_Emi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NS_ITEMS_DEL"/>
    </sheetNames>
    <sheetDataSet>
      <sheetData sheetId="0"/>
      <sheetData sheetId="1"/>
      <sheetData sheetId="2" refreshError="1">
        <row r="2">
          <cell r="A2" t="str">
            <v>^FI_ST: TCH, CON, ELE, NBN, CEN, LNK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Energy Summary"/>
      <sheetName val="Savings potential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"/>
    </sheetNames>
    <sheetDataSet>
      <sheetData sheetId="0"/>
      <sheetData sheetId="1"/>
      <sheetData sheetId="2"/>
      <sheetData sheetId="3">
        <row r="31">
          <cell r="J31">
            <v>2015</v>
          </cell>
        </row>
        <row r="33"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1</v>
          </cell>
          <cell r="W18">
            <v>1</v>
          </cell>
          <cell r="X18">
            <v>1</v>
          </cell>
          <cell r="Y18">
            <v>1</v>
          </cell>
          <cell r="Z18">
            <v>0.9</v>
          </cell>
          <cell r="AA18">
            <v>0.7</v>
          </cell>
          <cell r="AB18">
            <v>0.7</v>
          </cell>
          <cell r="AC18">
            <v>0.7</v>
          </cell>
          <cell r="AD18">
            <v>0.7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0.9</v>
          </cell>
          <cell r="BR18">
            <v>0.9</v>
          </cell>
          <cell r="BS18">
            <v>0.9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1</v>
          </cell>
          <cell r="Y19">
            <v>1</v>
          </cell>
          <cell r="Z19">
            <v>0.9</v>
          </cell>
          <cell r="AA19">
            <v>0.7</v>
          </cell>
          <cell r="AB19">
            <v>0.7</v>
          </cell>
          <cell r="AC19">
            <v>0.7</v>
          </cell>
          <cell r="AD19">
            <v>0.7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0.9</v>
          </cell>
          <cell r="BR19">
            <v>0.9</v>
          </cell>
          <cell r="BS19">
            <v>0.9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0.9</v>
          </cell>
          <cell r="AA20">
            <v>0.7</v>
          </cell>
          <cell r="AB20">
            <v>0.7</v>
          </cell>
          <cell r="AC20">
            <v>0.7</v>
          </cell>
          <cell r="AD20">
            <v>0.7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0.9</v>
          </cell>
          <cell r="BR20">
            <v>0.9</v>
          </cell>
          <cell r="BS20">
            <v>0.9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0.9</v>
          </cell>
          <cell r="AA21">
            <v>0.7</v>
          </cell>
          <cell r="AB21">
            <v>0.7</v>
          </cell>
          <cell r="AC21">
            <v>0.7</v>
          </cell>
          <cell r="AD21">
            <v>0.7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0.9</v>
          </cell>
          <cell r="BR21">
            <v>0.9</v>
          </cell>
          <cell r="BS21">
            <v>0.9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1</v>
          </cell>
          <cell r="Q22">
            <v>1</v>
          </cell>
          <cell r="R22">
            <v>1</v>
          </cell>
          <cell r="S22">
            <v>1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1</v>
          </cell>
          <cell r="Z22">
            <v>0.9</v>
          </cell>
          <cell r="AA22">
            <v>0.7</v>
          </cell>
          <cell r="AB22">
            <v>0.7</v>
          </cell>
          <cell r="AC22">
            <v>0.7</v>
          </cell>
          <cell r="AD22">
            <v>0.7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0.9</v>
          </cell>
          <cell r="BR22">
            <v>0.9</v>
          </cell>
          <cell r="BS22">
            <v>0.9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0.9</v>
          </cell>
          <cell r="AA23">
            <v>0.7</v>
          </cell>
          <cell r="AB23">
            <v>0.7</v>
          </cell>
          <cell r="AC23">
            <v>0.7</v>
          </cell>
          <cell r="AD23">
            <v>0.7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0.9</v>
          </cell>
          <cell r="BR23">
            <v>0.9</v>
          </cell>
          <cell r="BS23">
            <v>0.9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1</v>
          </cell>
          <cell r="Q24">
            <v>1</v>
          </cell>
          <cell r="R24">
            <v>1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0.9</v>
          </cell>
          <cell r="AA24">
            <v>0.7</v>
          </cell>
          <cell r="AB24">
            <v>0.7</v>
          </cell>
          <cell r="AC24">
            <v>0.7</v>
          </cell>
          <cell r="AD24">
            <v>0.7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0.9</v>
          </cell>
          <cell r="BR24">
            <v>0.9</v>
          </cell>
          <cell r="BS24">
            <v>0.9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1</v>
          </cell>
          <cell r="Q25">
            <v>1</v>
          </cell>
          <cell r="R25">
            <v>1</v>
          </cell>
          <cell r="S25">
            <v>1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0.9</v>
          </cell>
          <cell r="AA25">
            <v>0.7</v>
          </cell>
          <cell r="AB25">
            <v>0.7</v>
          </cell>
          <cell r="AC25">
            <v>0.7</v>
          </cell>
          <cell r="AD25">
            <v>0.7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0.9</v>
          </cell>
          <cell r="BR25">
            <v>0.9</v>
          </cell>
          <cell r="BS25">
            <v>0.9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1</v>
          </cell>
          <cell r="Q26">
            <v>1</v>
          </cell>
          <cell r="R26">
            <v>1</v>
          </cell>
          <cell r="S26">
            <v>1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0.9</v>
          </cell>
          <cell r="AA26">
            <v>0.7</v>
          </cell>
          <cell r="AB26">
            <v>0.7</v>
          </cell>
          <cell r="AC26">
            <v>0.7</v>
          </cell>
          <cell r="AD26">
            <v>0.7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0.9</v>
          </cell>
          <cell r="BR26">
            <v>0.9</v>
          </cell>
          <cell r="BS26">
            <v>0.9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0.9</v>
          </cell>
          <cell r="BR108">
            <v>0.9</v>
          </cell>
          <cell r="BS108">
            <v>0.9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0.9</v>
          </cell>
          <cell r="BR109">
            <v>0.9</v>
          </cell>
          <cell r="BS109">
            <v>0.9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0.9</v>
          </cell>
          <cell r="BR110">
            <v>0.9</v>
          </cell>
          <cell r="BS110">
            <v>0.9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0.9</v>
          </cell>
          <cell r="BR111">
            <v>0.9</v>
          </cell>
          <cell r="BS111">
            <v>0.9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0.9</v>
          </cell>
          <cell r="BR112">
            <v>0.9</v>
          </cell>
          <cell r="BS112">
            <v>0.9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0.9</v>
          </cell>
          <cell r="BR113">
            <v>0.9</v>
          </cell>
          <cell r="BS113">
            <v>0.9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0.9</v>
          </cell>
          <cell r="BR114">
            <v>0.9</v>
          </cell>
          <cell r="BS114">
            <v>0.9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0.9</v>
          </cell>
          <cell r="BR115">
            <v>0.9</v>
          </cell>
          <cell r="BS115">
            <v>0.9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0.9</v>
          </cell>
          <cell r="BR116">
            <v>0.9</v>
          </cell>
          <cell r="BS116">
            <v>0.9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1</v>
          </cell>
          <cell r="V153">
            <v>1</v>
          </cell>
          <cell r="W153">
            <v>1</v>
          </cell>
          <cell r="X153">
            <v>1</v>
          </cell>
          <cell r="Y153">
            <v>1</v>
          </cell>
          <cell r="Z153">
            <v>0.9</v>
          </cell>
          <cell r="AA153">
            <v>0.7</v>
          </cell>
          <cell r="AB153">
            <v>0.7</v>
          </cell>
          <cell r="AC153">
            <v>0.7</v>
          </cell>
          <cell r="AD153">
            <v>0.7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1</v>
          </cell>
          <cell r="Q154">
            <v>1</v>
          </cell>
          <cell r="R154">
            <v>1</v>
          </cell>
          <cell r="S154">
            <v>1</v>
          </cell>
          <cell r="T154">
            <v>1</v>
          </cell>
          <cell r="U154">
            <v>1</v>
          </cell>
          <cell r="V154">
            <v>1</v>
          </cell>
          <cell r="W154">
            <v>1</v>
          </cell>
          <cell r="X154">
            <v>1</v>
          </cell>
          <cell r="Y154">
            <v>1</v>
          </cell>
          <cell r="Z154">
            <v>0.9</v>
          </cell>
          <cell r="AA154">
            <v>0.7</v>
          </cell>
          <cell r="AB154">
            <v>0.7</v>
          </cell>
          <cell r="AC154">
            <v>0.7</v>
          </cell>
          <cell r="AD154">
            <v>0.7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0.9</v>
          </cell>
          <cell r="AA155">
            <v>0.7</v>
          </cell>
          <cell r="AB155">
            <v>0.7</v>
          </cell>
          <cell r="AC155">
            <v>0.7</v>
          </cell>
          <cell r="AD155">
            <v>0.7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1</v>
          </cell>
          <cell r="Q156">
            <v>1</v>
          </cell>
          <cell r="R156">
            <v>1</v>
          </cell>
          <cell r="S156">
            <v>1</v>
          </cell>
          <cell r="T156">
            <v>1</v>
          </cell>
          <cell r="U156">
            <v>1</v>
          </cell>
          <cell r="V156">
            <v>1</v>
          </cell>
          <cell r="W156">
            <v>1</v>
          </cell>
          <cell r="X156">
            <v>1</v>
          </cell>
          <cell r="Y156">
            <v>1</v>
          </cell>
          <cell r="Z156">
            <v>0.9</v>
          </cell>
          <cell r="AA156">
            <v>0.7</v>
          </cell>
          <cell r="AB156">
            <v>0.7</v>
          </cell>
          <cell r="AC156">
            <v>0.7</v>
          </cell>
          <cell r="AD156">
            <v>0.7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0.9</v>
          </cell>
          <cell r="AA157">
            <v>0.7</v>
          </cell>
          <cell r="AB157">
            <v>0.7</v>
          </cell>
          <cell r="AC157">
            <v>0.7</v>
          </cell>
          <cell r="AD157">
            <v>0.7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W158">
            <v>1</v>
          </cell>
          <cell r="X158">
            <v>1</v>
          </cell>
          <cell r="Y158">
            <v>1</v>
          </cell>
          <cell r="Z158">
            <v>0.9</v>
          </cell>
          <cell r="AA158">
            <v>0.7</v>
          </cell>
          <cell r="AB158">
            <v>0.7</v>
          </cell>
          <cell r="AC158">
            <v>0.7</v>
          </cell>
          <cell r="AD158">
            <v>0.7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1</v>
          </cell>
          <cell r="Q159">
            <v>1</v>
          </cell>
          <cell r="R159">
            <v>1</v>
          </cell>
          <cell r="S159">
            <v>1</v>
          </cell>
          <cell r="T159">
            <v>1</v>
          </cell>
          <cell r="U159">
            <v>1</v>
          </cell>
          <cell r="V159">
            <v>1</v>
          </cell>
          <cell r="W159">
            <v>1</v>
          </cell>
          <cell r="X159">
            <v>1</v>
          </cell>
          <cell r="Y159">
            <v>1</v>
          </cell>
          <cell r="Z159">
            <v>0.9</v>
          </cell>
          <cell r="AA159">
            <v>0.7</v>
          </cell>
          <cell r="AB159">
            <v>0.7</v>
          </cell>
          <cell r="AC159">
            <v>0.7</v>
          </cell>
          <cell r="AD159">
            <v>0.7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1</v>
          </cell>
          <cell r="Q160">
            <v>1</v>
          </cell>
          <cell r="R160">
            <v>1</v>
          </cell>
          <cell r="S160">
            <v>1</v>
          </cell>
          <cell r="T160">
            <v>1</v>
          </cell>
          <cell r="U160">
            <v>1</v>
          </cell>
          <cell r="V160">
            <v>1</v>
          </cell>
          <cell r="W160">
            <v>1</v>
          </cell>
          <cell r="X160">
            <v>1</v>
          </cell>
          <cell r="Y160">
            <v>1</v>
          </cell>
          <cell r="Z160">
            <v>0.9</v>
          </cell>
          <cell r="AA160">
            <v>0.7</v>
          </cell>
          <cell r="AB160">
            <v>0.7</v>
          </cell>
          <cell r="AC160">
            <v>0.7</v>
          </cell>
          <cell r="AD160">
            <v>0.7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1</v>
          </cell>
          <cell r="Q161">
            <v>1</v>
          </cell>
          <cell r="R161">
            <v>1</v>
          </cell>
          <cell r="S161">
            <v>1</v>
          </cell>
          <cell r="T161">
            <v>1</v>
          </cell>
          <cell r="U161">
            <v>1</v>
          </cell>
          <cell r="V161">
            <v>1</v>
          </cell>
          <cell r="W161">
            <v>1</v>
          </cell>
          <cell r="X161">
            <v>1</v>
          </cell>
          <cell r="Y161">
            <v>1</v>
          </cell>
          <cell r="Z161">
            <v>0.9</v>
          </cell>
          <cell r="AA161">
            <v>0.7</v>
          </cell>
          <cell r="AB161">
            <v>0.7</v>
          </cell>
          <cell r="AC161">
            <v>0.7</v>
          </cell>
          <cell r="AD161">
            <v>0.7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B168">
            <v>1</v>
          </cell>
          <cell r="AC168">
            <v>1</v>
          </cell>
          <cell r="AD168">
            <v>1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B171">
            <v>1</v>
          </cell>
          <cell r="AC171">
            <v>1</v>
          </cell>
          <cell r="AD171">
            <v>1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B174">
            <v>1</v>
          </cell>
          <cell r="AC174">
            <v>1</v>
          </cell>
          <cell r="AD174">
            <v>1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B175">
            <v>1</v>
          </cell>
          <cell r="AC175">
            <v>1</v>
          </cell>
          <cell r="AD175">
            <v>1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0.9</v>
          </cell>
          <cell r="BR198">
            <v>0.9</v>
          </cell>
          <cell r="BS198">
            <v>0.9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0.9</v>
          </cell>
          <cell r="BR199">
            <v>0.9</v>
          </cell>
          <cell r="BS199">
            <v>0.9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1</v>
          </cell>
          <cell r="Q200">
            <v>1</v>
          </cell>
          <cell r="R200">
            <v>1</v>
          </cell>
          <cell r="S200">
            <v>1</v>
          </cell>
          <cell r="T200">
            <v>1</v>
          </cell>
          <cell r="U200">
            <v>1</v>
          </cell>
          <cell r="V200">
            <v>1</v>
          </cell>
          <cell r="W200">
            <v>1</v>
          </cell>
          <cell r="X200">
            <v>1</v>
          </cell>
          <cell r="Y200">
            <v>1</v>
          </cell>
          <cell r="Z200">
            <v>1</v>
          </cell>
          <cell r="AA200">
            <v>1</v>
          </cell>
          <cell r="AB200">
            <v>1</v>
          </cell>
          <cell r="AC200">
            <v>1</v>
          </cell>
          <cell r="AD200">
            <v>1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0.9</v>
          </cell>
          <cell r="BR200">
            <v>0.9</v>
          </cell>
          <cell r="BS200">
            <v>0.9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0.9</v>
          </cell>
          <cell r="BR201">
            <v>0.9</v>
          </cell>
          <cell r="BS201">
            <v>0.9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0.9</v>
          </cell>
          <cell r="BR202">
            <v>0.9</v>
          </cell>
          <cell r="BS202">
            <v>0.9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AC203">
            <v>1</v>
          </cell>
          <cell r="AD203">
            <v>1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0.9</v>
          </cell>
          <cell r="BR203">
            <v>0.9</v>
          </cell>
          <cell r="BS203">
            <v>0.9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0.9</v>
          </cell>
          <cell r="BR204">
            <v>0.9</v>
          </cell>
          <cell r="BS204">
            <v>0.9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0.9</v>
          </cell>
          <cell r="BR205">
            <v>0.9</v>
          </cell>
          <cell r="BS205">
            <v>0.9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0.9</v>
          </cell>
          <cell r="BR206">
            <v>0.9</v>
          </cell>
          <cell r="BS206">
            <v>0.9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1</v>
          </cell>
          <cell r="Q288">
            <v>1</v>
          </cell>
          <cell r="R288">
            <v>1</v>
          </cell>
          <cell r="S288">
            <v>1</v>
          </cell>
          <cell r="T288">
            <v>1</v>
          </cell>
          <cell r="U288">
            <v>1</v>
          </cell>
          <cell r="V288">
            <v>1</v>
          </cell>
          <cell r="W288">
            <v>1</v>
          </cell>
          <cell r="X288">
            <v>1</v>
          </cell>
          <cell r="Y288">
            <v>1</v>
          </cell>
          <cell r="Z288">
            <v>0.9</v>
          </cell>
          <cell r="AA288">
            <v>0.7</v>
          </cell>
          <cell r="AB288">
            <v>0.7</v>
          </cell>
          <cell r="AC288">
            <v>0.7</v>
          </cell>
          <cell r="AD288">
            <v>0.7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0.9</v>
          </cell>
          <cell r="BR288">
            <v>0.9</v>
          </cell>
          <cell r="BS288">
            <v>0.9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1</v>
          </cell>
          <cell r="Q289">
            <v>1</v>
          </cell>
          <cell r="R289">
            <v>1</v>
          </cell>
          <cell r="S289">
            <v>1</v>
          </cell>
          <cell r="T289">
            <v>1</v>
          </cell>
          <cell r="U289">
            <v>1</v>
          </cell>
          <cell r="V289">
            <v>1</v>
          </cell>
          <cell r="W289">
            <v>1</v>
          </cell>
          <cell r="X289">
            <v>1</v>
          </cell>
          <cell r="Y289">
            <v>1</v>
          </cell>
          <cell r="Z289">
            <v>0.9</v>
          </cell>
          <cell r="AA289">
            <v>0.7</v>
          </cell>
          <cell r="AB289">
            <v>0.7</v>
          </cell>
          <cell r="AC289">
            <v>0.7</v>
          </cell>
          <cell r="AD289">
            <v>0.7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0.9</v>
          </cell>
          <cell r="BR289">
            <v>0.9</v>
          </cell>
          <cell r="BS289">
            <v>0.9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1</v>
          </cell>
          <cell r="Q290">
            <v>1</v>
          </cell>
          <cell r="R290">
            <v>1</v>
          </cell>
          <cell r="S290">
            <v>1</v>
          </cell>
          <cell r="T290">
            <v>1</v>
          </cell>
          <cell r="U290">
            <v>1</v>
          </cell>
          <cell r="V290">
            <v>1</v>
          </cell>
          <cell r="W290">
            <v>1</v>
          </cell>
          <cell r="X290">
            <v>1</v>
          </cell>
          <cell r="Y290">
            <v>1</v>
          </cell>
          <cell r="Z290">
            <v>0.9</v>
          </cell>
          <cell r="AA290">
            <v>0.7</v>
          </cell>
          <cell r="AB290">
            <v>0.7</v>
          </cell>
          <cell r="AC290">
            <v>0.7</v>
          </cell>
          <cell r="AD290">
            <v>0.7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0.9</v>
          </cell>
          <cell r="BR290">
            <v>0.9</v>
          </cell>
          <cell r="BS290">
            <v>0.9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>
            <v>1</v>
          </cell>
          <cell r="U291">
            <v>1</v>
          </cell>
          <cell r="V291">
            <v>1</v>
          </cell>
          <cell r="W291">
            <v>1</v>
          </cell>
          <cell r="X291">
            <v>1</v>
          </cell>
          <cell r="Y291">
            <v>1</v>
          </cell>
          <cell r="Z291">
            <v>0.9</v>
          </cell>
          <cell r="AA291">
            <v>0.7</v>
          </cell>
          <cell r="AB291">
            <v>0.7</v>
          </cell>
          <cell r="AC291">
            <v>0.7</v>
          </cell>
          <cell r="AD291">
            <v>0.7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0.9</v>
          </cell>
          <cell r="BR291">
            <v>0.9</v>
          </cell>
          <cell r="BS291">
            <v>0.9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  <cell r="R292">
            <v>1</v>
          </cell>
          <cell r="S292">
            <v>1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0.9</v>
          </cell>
          <cell r="AA292">
            <v>0.7</v>
          </cell>
          <cell r="AB292">
            <v>0.7</v>
          </cell>
          <cell r="AC292">
            <v>0.7</v>
          </cell>
          <cell r="AD292">
            <v>0.7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0.9</v>
          </cell>
          <cell r="BR292">
            <v>0.9</v>
          </cell>
          <cell r="BS292">
            <v>0.9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0.9</v>
          </cell>
          <cell r="AA293">
            <v>0.7</v>
          </cell>
          <cell r="AB293">
            <v>0.7</v>
          </cell>
          <cell r="AC293">
            <v>0.7</v>
          </cell>
          <cell r="AD293">
            <v>0.7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0.9</v>
          </cell>
          <cell r="BR293">
            <v>0.9</v>
          </cell>
          <cell r="BS293">
            <v>0.9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1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0.9</v>
          </cell>
          <cell r="AA294">
            <v>0.7</v>
          </cell>
          <cell r="AB294">
            <v>0.7</v>
          </cell>
          <cell r="AC294">
            <v>0.7</v>
          </cell>
          <cell r="AD294">
            <v>0.7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0.9</v>
          </cell>
          <cell r="BR294">
            <v>0.9</v>
          </cell>
          <cell r="BS294">
            <v>0.9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1</v>
          </cell>
          <cell r="U295">
            <v>1</v>
          </cell>
          <cell r="V295">
            <v>1</v>
          </cell>
          <cell r="W295">
            <v>1</v>
          </cell>
          <cell r="X295">
            <v>1</v>
          </cell>
          <cell r="Y295">
            <v>1</v>
          </cell>
          <cell r="Z295">
            <v>0.9</v>
          </cell>
          <cell r="AA295">
            <v>0.7</v>
          </cell>
          <cell r="AB295">
            <v>0.7</v>
          </cell>
          <cell r="AC295">
            <v>0.7</v>
          </cell>
          <cell r="AD295">
            <v>0.7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0.9</v>
          </cell>
          <cell r="BR295">
            <v>0.9</v>
          </cell>
          <cell r="BS295">
            <v>0.9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1</v>
          </cell>
          <cell r="U296">
            <v>1</v>
          </cell>
          <cell r="V296">
            <v>1</v>
          </cell>
          <cell r="W296">
            <v>1</v>
          </cell>
          <cell r="X296">
            <v>1</v>
          </cell>
          <cell r="Y296">
            <v>1</v>
          </cell>
          <cell r="Z296">
            <v>0.9</v>
          </cell>
          <cell r="AA296">
            <v>0.7</v>
          </cell>
          <cell r="AB296">
            <v>0.7</v>
          </cell>
          <cell r="AC296">
            <v>0.7</v>
          </cell>
          <cell r="AD296">
            <v>0.7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0.9</v>
          </cell>
          <cell r="BR296">
            <v>0.9</v>
          </cell>
          <cell r="BS296">
            <v>0.9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1</v>
          </cell>
          <cell r="Q318">
            <v>1</v>
          </cell>
          <cell r="R318">
            <v>1</v>
          </cell>
          <cell r="S318">
            <v>1</v>
          </cell>
          <cell r="T318">
            <v>1</v>
          </cell>
          <cell r="U318">
            <v>1</v>
          </cell>
          <cell r="V318">
            <v>1</v>
          </cell>
          <cell r="W318">
            <v>1</v>
          </cell>
          <cell r="X318">
            <v>1</v>
          </cell>
          <cell r="Y318">
            <v>1</v>
          </cell>
          <cell r="Z318">
            <v>1</v>
          </cell>
          <cell r="AA318">
            <v>1</v>
          </cell>
          <cell r="AB318">
            <v>1</v>
          </cell>
          <cell r="AC318">
            <v>1</v>
          </cell>
          <cell r="AD318">
            <v>1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1</v>
          </cell>
          <cell r="Q319">
            <v>1</v>
          </cell>
          <cell r="R319">
            <v>1</v>
          </cell>
          <cell r="S319">
            <v>1</v>
          </cell>
          <cell r="T319">
            <v>1</v>
          </cell>
          <cell r="U319">
            <v>1</v>
          </cell>
          <cell r="V319">
            <v>1</v>
          </cell>
          <cell r="W319">
            <v>1</v>
          </cell>
          <cell r="X319">
            <v>1</v>
          </cell>
          <cell r="Y319">
            <v>1</v>
          </cell>
          <cell r="Z319">
            <v>1</v>
          </cell>
          <cell r="AA319">
            <v>1</v>
          </cell>
          <cell r="AB319">
            <v>1</v>
          </cell>
          <cell r="AC319">
            <v>1</v>
          </cell>
          <cell r="AD319">
            <v>1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1</v>
          </cell>
          <cell r="Q320">
            <v>1</v>
          </cell>
          <cell r="R320">
            <v>1</v>
          </cell>
          <cell r="S320">
            <v>1</v>
          </cell>
          <cell r="T320">
            <v>1</v>
          </cell>
          <cell r="U320">
            <v>1</v>
          </cell>
          <cell r="V320">
            <v>1</v>
          </cell>
          <cell r="W320">
            <v>1</v>
          </cell>
          <cell r="X320">
            <v>1</v>
          </cell>
          <cell r="Y320">
            <v>1</v>
          </cell>
          <cell r="Z320">
            <v>1</v>
          </cell>
          <cell r="AA320">
            <v>1</v>
          </cell>
          <cell r="AB320">
            <v>1</v>
          </cell>
          <cell r="AC320">
            <v>1</v>
          </cell>
          <cell r="AD320">
            <v>1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1</v>
          </cell>
          <cell r="Q321">
            <v>1</v>
          </cell>
          <cell r="R321">
            <v>1</v>
          </cell>
          <cell r="S321">
            <v>1</v>
          </cell>
          <cell r="T321">
            <v>1</v>
          </cell>
          <cell r="U321">
            <v>1</v>
          </cell>
          <cell r="V321">
            <v>1</v>
          </cell>
          <cell r="W321">
            <v>1</v>
          </cell>
          <cell r="X321">
            <v>1</v>
          </cell>
          <cell r="Y321">
            <v>1</v>
          </cell>
          <cell r="Z321">
            <v>1</v>
          </cell>
          <cell r="AA321">
            <v>1</v>
          </cell>
          <cell r="AB321">
            <v>1</v>
          </cell>
          <cell r="AC321">
            <v>1</v>
          </cell>
          <cell r="AD321">
            <v>1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1</v>
          </cell>
          <cell r="Q322">
            <v>1</v>
          </cell>
          <cell r="R322">
            <v>1</v>
          </cell>
          <cell r="S322">
            <v>1</v>
          </cell>
          <cell r="T322">
            <v>1</v>
          </cell>
          <cell r="U322">
            <v>1</v>
          </cell>
          <cell r="V322">
            <v>1</v>
          </cell>
          <cell r="W322">
            <v>1</v>
          </cell>
          <cell r="X322">
            <v>1</v>
          </cell>
          <cell r="Y322">
            <v>1</v>
          </cell>
          <cell r="Z322">
            <v>1</v>
          </cell>
          <cell r="AA322">
            <v>1</v>
          </cell>
          <cell r="AB322">
            <v>1</v>
          </cell>
          <cell r="AC322">
            <v>1</v>
          </cell>
          <cell r="AD322">
            <v>1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1</v>
          </cell>
          <cell r="Q323">
            <v>1</v>
          </cell>
          <cell r="R323">
            <v>1</v>
          </cell>
          <cell r="S323">
            <v>1</v>
          </cell>
          <cell r="T323">
            <v>1</v>
          </cell>
          <cell r="U323">
            <v>1</v>
          </cell>
          <cell r="V323">
            <v>1</v>
          </cell>
          <cell r="W323">
            <v>1</v>
          </cell>
          <cell r="X323">
            <v>1</v>
          </cell>
          <cell r="Y323">
            <v>1</v>
          </cell>
          <cell r="Z323">
            <v>1</v>
          </cell>
          <cell r="AA323">
            <v>1</v>
          </cell>
          <cell r="AB323">
            <v>1</v>
          </cell>
          <cell r="AC323">
            <v>1</v>
          </cell>
          <cell r="AD323">
            <v>1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1</v>
          </cell>
          <cell r="Q324">
            <v>1</v>
          </cell>
          <cell r="R324">
            <v>1</v>
          </cell>
          <cell r="S324">
            <v>1</v>
          </cell>
          <cell r="T324">
            <v>1</v>
          </cell>
          <cell r="U324">
            <v>1</v>
          </cell>
          <cell r="V324">
            <v>1</v>
          </cell>
          <cell r="W324">
            <v>1</v>
          </cell>
          <cell r="X324">
            <v>1</v>
          </cell>
          <cell r="Y324">
            <v>1</v>
          </cell>
          <cell r="Z324">
            <v>1</v>
          </cell>
          <cell r="AA324">
            <v>1</v>
          </cell>
          <cell r="AB324">
            <v>1</v>
          </cell>
          <cell r="AC324">
            <v>1</v>
          </cell>
          <cell r="AD324">
            <v>1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1</v>
          </cell>
          <cell r="Q325">
            <v>1</v>
          </cell>
          <cell r="R325">
            <v>1</v>
          </cell>
          <cell r="S325">
            <v>1</v>
          </cell>
          <cell r="T325">
            <v>1</v>
          </cell>
          <cell r="U325">
            <v>1</v>
          </cell>
          <cell r="V325">
            <v>1</v>
          </cell>
          <cell r="W325">
            <v>1</v>
          </cell>
          <cell r="X325">
            <v>1</v>
          </cell>
          <cell r="Y325">
            <v>1</v>
          </cell>
          <cell r="Z325">
            <v>1</v>
          </cell>
          <cell r="AA325">
            <v>1</v>
          </cell>
          <cell r="AB325">
            <v>1</v>
          </cell>
          <cell r="AC325">
            <v>1</v>
          </cell>
          <cell r="AD325">
            <v>1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1</v>
          </cell>
          <cell r="Q326">
            <v>1</v>
          </cell>
          <cell r="R326">
            <v>1</v>
          </cell>
          <cell r="S326">
            <v>1</v>
          </cell>
          <cell r="T326">
            <v>1</v>
          </cell>
          <cell r="U326">
            <v>1</v>
          </cell>
          <cell r="V326">
            <v>1</v>
          </cell>
          <cell r="W326">
            <v>1</v>
          </cell>
          <cell r="X326">
            <v>1</v>
          </cell>
          <cell r="Y326">
            <v>1</v>
          </cell>
          <cell r="Z326">
            <v>1</v>
          </cell>
          <cell r="AA326">
            <v>1</v>
          </cell>
          <cell r="AB326">
            <v>1</v>
          </cell>
          <cell r="AC326">
            <v>1</v>
          </cell>
          <cell r="AD326">
            <v>1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1</v>
          </cell>
          <cell r="Q338">
            <v>1</v>
          </cell>
          <cell r="R338">
            <v>1</v>
          </cell>
          <cell r="S338">
            <v>1</v>
          </cell>
          <cell r="T338">
            <v>1</v>
          </cell>
          <cell r="U338">
            <v>1</v>
          </cell>
          <cell r="V338">
            <v>1</v>
          </cell>
          <cell r="W338">
            <v>1</v>
          </cell>
          <cell r="X338">
            <v>1</v>
          </cell>
          <cell r="Y338">
            <v>1</v>
          </cell>
          <cell r="Z338">
            <v>1</v>
          </cell>
          <cell r="AA338">
            <v>1</v>
          </cell>
          <cell r="AB338">
            <v>1</v>
          </cell>
          <cell r="AC338">
            <v>1</v>
          </cell>
          <cell r="AD338">
            <v>1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1</v>
          </cell>
          <cell r="Q339">
            <v>1</v>
          </cell>
          <cell r="R339">
            <v>1</v>
          </cell>
          <cell r="S339">
            <v>1</v>
          </cell>
          <cell r="T339">
            <v>1</v>
          </cell>
          <cell r="U339">
            <v>1</v>
          </cell>
          <cell r="V339">
            <v>1</v>
          </cell>
          <cell r="W339">
            <v>1</v>
          </cell>
          <cell r="X339">
            <v>1</v>
          </cell>
          <cell r="Y339">
            <v>1</v>
          </cell>
          <cell r="Z339">
            <v>1</v>
          </cell>
          <cell r="AA339">
            <v>1</v>
          </cell>
          <cell r="AB339">
            <v>1</v>
          </cell>
          <cell r="AC339">
            <v>1</v>
          </cell>
          <cell r="AD339">
            <v>1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1</v>
          </cell>
          <cell r="Q340">
            <v>1</v>
          </cell>
          <cell r="R340">
            <v>1</v>
          </cell>
          <cell r="S340">
            <v>1</v>
          </cell>
          <cell r="T340">
            <v>1</v>
          </cell>
          <cell r="U340">
            <v>1</v>
          </cell>
          <cell r="V340">
            <v>1</v>
          </cell>
          <cell r="W340">
            <v>1</v>
          </cell>
          <cell r="X340">
            <v>1</v>
          </cell>
          <cell r="Y340">
            <v>1</v>
          </cell>
          <cell r="Z340">
            <v>1</v>
          </cell>
          <cell r="AA340">
            <v>1</v>
          </cell>
          <cell r="AB340">
            <v>1</v>
          </cell>
          <cell r="AC340">
            <v>1</v>
          </cell>
          <cell r="AD340">
            <v>1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1</v>
          </cell>
          <cell r="Q341">
            <v>1</v>
          </cell>
          <cell r="R341">
            <v>1</v>
          </cell>
          <cell r="S341">
            <v>1</v>
          </cell>
          <cell r="T341">
            <v>1</v>
          </cell>
          <cell r="U341">
            <v>1</v>
          </cell>
          <cell r="V341">
            <v>1</v>
          </cell>
          <cell r="W341">
            <v>1</v>
          </cell>
          <cell r="X341">
            <v>1</v>
          </cell>
          <cell r="Y341">
            <v>1</v>
          </cell>
          <cell r="Z341">
            <v>1</v>
          </cell>
          <cell r="AA341">
            <v>1</v>
          </cell>
          <cell r="AB341">
            <v>1</v>
          </cell>
          <cell r="AC341">
            <v>1</v>
          </cell>
          <cell r="AD341">
            <v>1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1</v>
          </cell>
          <cell r="Q342">
            <v>1</v>
          </cell>
          <cell r="R342">
            <v>1</v>
          </cell>
          <cell r="S342">
            <v>1</v>
          </cell>
          <cell r="T342">
            <v>1</v>
          </cell>
          <cell r="U342">
            <v>1</v>
          </cell>
          <cell r="V342">
            <v>1</v>
          </cell>
          <cell r="W342">
            <v>1</v>
          </cell>
          <cell r="X342">
            <v>1</v>
          </cell>
          <cell r="Y342">
            <v>1</v>
          </cell>
          <cell r="Z342">
            <v>1</v>
          </cell>
          <cell r="AA342">
            <v>1</v>
          </cell>
          <cell r="AB342">
            <v>1</v>
          </cell>
          <cell r="AC342">
            <v>1</v>
          </cell>
          <cell r="AD342">
            <v>1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1</v>
          </cell>
          <cell r="Q343">
            <v>1</v>
          </cell>
          <cell r="R343">
            <v>1</v>
          </cell>
          <cell r="S343">
            <v>1</v>
          </cell>
          <cell r="T343">
            <v>1</v>
          </cell>
          <cell r="U343">
            <v>1</v>
          </cell>
          <cell r="V343">
            <v>1</v>
          </cell>
          <cell r="W343">
            <v>1</v>
          </cell>
          <cell r="X343">
            <v>1</v>
          </cell>
          <cell r="Y343">
            <v>1</v>
          </cell>
          <cell r="Z343">
            <v>1</v>
          </cell>
          <cell r="AA343">
            <v>1</v>
          </cell>
          <cell r="AB343">
            <v>1</v>
          </cell>
          <cell r="AC343">
            <v>1</v>
          </cell>
          <cell r="AD343">
            <v>1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1</v>
          </cell>
          <cell r="Q344">
            <v>1</v>
          </cell>
          <cell r="R344">
            <v>1</v>
          </cell>
          <cell r="S344">
            <v>1</v>
          </cell>
          <cell r="T344">
            <v>1</v>
          </cell>
          <cell r="U344">
            <v>1</v>
          </cell>
          <cell r="V344">
            <v>1</v>
          </cell>
          <cell r="W344">
            <v>1</v>
          </cell>
          <cell r="X344">
            <v>1</v>
          </cell>
          <cell r="Y344">
            <v>1</v>
          </cell>
          <cell r="Z344">
            <v>1</v>
          </cell>
          <cell r="AA344">
            <v>1</v>
          </cell>
          <cell r="AB344">
            <v>1</v>
          </cell>
          <cell r="AC344">
            <v>1</v>
          </cell>
          <cell r="AD344">
            <v>1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1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  <cell r="Z345">
            <v>1</v>
          </cell>
          <cell r="AA345">
            <v>1</v>
          </cell>
          <cell r="AB345">
            <v>1</v>
          </cell>
          <cell r="AC345">
            <v>1</v>
          </cell>
          <cell r="AD345">
            <v>1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1</v>
          </cell>
          <cell r="Q346">
            <v>1</v>
          </cell>
          <cell r="R346">
            <v>1</v>
          </cell>
          <cell r="S346">
            <v>1</v>
          </cell>
          <cell r="T346">
            <v>1</v>
          </cell>
          <cell r="U346">
            <v>1</v>
          </cell>
          <cell r="V346">
            <v>1</v>
          </cell>
          <cell r="W346">
            <v>1</v>
          </cell>
          <cell r="X346">
            <v>1</v>
          </cell>
          <cell r="Y346">
            <v>1</v>
          </cell>
          <cell r="Z346">
            <v>1</v>
          </cell>
          <cell r="AA346">
            <v>1</v>
          </cell>
          <cell r="AB346">
            <v>1</v>
          </cell>
          <cell r="AC346">
            <v>1</v>
          </cell>
          <cell r="AD346">
            <v>1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1</v>
          </cell>
          <cell r="Q423">
            <v>1</v>
          </cell>
          <cell r="R423">
            <v>1</v>
          </cell>
          <cell r="S423">
            <v>1</v>
          </cell>
          <cell r="T423">
            <v>1</v>
          </cell>
          <cell r="U423">
            <v>1</v>
          </cell>
          <cell r="V423">
            <v>1</v>
          </cell>
          <cell r="W423">
            <v>1</v>
          </cell>
          <cell r="X423">
            <v>1</v>
          </cell>
          <cell r="Y423">
            <v>1</v>
          </cell>
          <cell r="Z423">
            <v>0.9</v>
          </cell>
          <cell r="AA423">
            <v>0.7</v>
          </cell>
          <cell r="AB423">
            <v>0.7</v>
          </cell>
          <cell r="AC423">
            <v>0.7</v>
          </cell>
          <cell r="AD423">
            <v>0.7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1</v>
          </cell>
          <cell r="Q424">
            <v>1</v>
          </cell>
          <cell r="R424">
            <v>1</v>
          </cell>
          <cell r="S424">
            <v>1</v>
          </cell>
          <cell r="T424">
            <v>1</v>
          </cell>
          <cell r="U424">
            <v>1</v>
          </cell>
          <cell r="V424">
            <v>1</v>
          </cell>
          <cell r="W424">
            <v>1</v>
          </cell>
          <cell r="X424">
            <v>1</v>
          </cell>
          <cell r="Y424">
            <v>1</v>
          </cell>
          <cell r="Z424">
            <v>0.9</v>
          </cell>
          <cell r="AA424">
            <v>0.7</v>
          </cell>
          <cell r="AB424">
            <v>0.7</v>
          </cell>
          <cell r="AC424">
            <v>0.7</v>
          </cell>
          <cell r="AD424">
            <v>0.7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1</v>
          </cell>
          <cell r="Q425">
            <v>1</v>
          </cell>
          <cell r="R425">
            <v>1</v>
          </cell>
          <cell r="S425">
            <v>1</v>
          </cell>
          <cell r="T425">
            <v>1</v>
          </cell>
          <cell r="U425">
            <v>1</v>
          </cell>
          <cell r="V425">
            <v>1</v>
          </cell>
          <cell r="W425">
            <v>1</v>
          </cell>
          <cell r="X425">
            <v>1</v>
          </cell>
          <cell r="Y425">
            <v>1</v>
          </cell>
          <cell r="Z425">
            <v>0.9</v>
          </cell>
          <cell r="AA425">
            <v>0.7</v>
          </cell>
          <cell r="AB425">
            <v>0.7</v>
          </cell>
          <cell r="AC425">
            <v>0.7</v>
          </cell>
          <cell r="AD425">
            <v>0.7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1</v>
          </cell>
          <cell r="Q426">
            <v>1</v>
          </cell>
          <cell r="R426">
            <v>1</v>
          </cell>
          <cell r="S426">
            <v>1</v>
          </cell>
          <cell r="T426">
            <v>1</v>
          </cell>
          <cell r="U426">
            <v>1</v>
          </cell>
          <cell r="V426">
            <v>1</v>
          </cell>
          <cell r="W426">
            <v>1</v>
          </cell>
          <cell r="X426">
            <v>1</v>
          </cell>
          <cell r="Y426">
            <v>1</v>
          </cell>
          <cell r="Z426">
            <v>0.9</v>
          </cell>
          <cell r="AA426">
            <v>0.7</v>
          </cell>
          <cell r="AB426">
            <v>0.7</v>
          </cell>
          <cell r="AC426">
            <v>0.7</v>
          </cell>
          <cell r="AD426">
            <v>0.7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1</v>
          </cell>
          <cell r="Q427">
            <v>1</v>
          </cell>
          <cell r="R427">
            <v>1</v>
          </cell>
          <cell r="S427">
            <v>1</v>
          </cell>
          <cell r="T427">
            <v>1</v>
          </cell>
          <cell r="U427">
            <v>1</v>
          </cell>
          <cell r="V427">
            <v>1</v>
          </cell>
          <cell r="W427">
            <v>1</v>
          </cell>
          <cell r="X427">
            <v>1</v>
          </cell>
          <cell r="Y427">
            <v>1</v>
          </cell>
          <cell r="Z427">
            <v>0.9</v>
          </cell>
          <cell r="AA427">
            <v>0.7</v>
          </cell>
          <cell r="AB427">
            <v>0.7</v>
          </cell>
          <cell r="AC427">
            <v>0.7</v>
          </cell>
          <cell r="AD427">
            <v>0.7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1</v>
          </cell>
          <cell r="Q428">
            <v>1</v>
          </cell>
          <cell r="R428">
            <v>1</v>
          </cell>
          <cell r="S428">
            <v>1</v>
          </cell>
          <cell r="T428">
            <v>1</v>
          </cell>
          <cell r="U428">
            <v>1</v>
          </cell>
          <cell r="V428">
            <v>1</v>
          </cell>
          <cell r="W428">
            <v>1</v>
          </cell>
          <cell r="X428">
            <v>1</v>
          </cell>
          <cell r="Y428">
            <v>1</v>
          </cell>
          <cell r="Z428">
            <v>0.9</v>
          </cell>
          <cell r="AA428">
            <v>0.7</v>
          </cell>
          <cell r="AB428">
            <v>0.7</v>
          </cell>
          <cell r="AC428">
            <v>0.7</v>
          </cell>
          <cell r="AD428">
            <v>0.7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1</v>
          </cell>
          <cell r="Q429">
            <v>1</v>
          </cell>
          <cell r="R429">
            <v>1</v>
          </cell>
          <cell r="S429">
            <v>1</v>
          </cell>
          <cell r="T429">
            <v>1</v>
          </cell>
          <cell r="U429">
            <v>1</v>
          </cell>
          <cell r="V429">
            <v>1</v>
          </cell>
          <cell r="W429">
            <v>1</v>
          </cell>
          <cell r="X429">
            <v>1</v>
          </cell>
          <cell r="Y429">
            <v>1</v>
          </cell>
          <cell r="Z429">
            <v>0.9</v>
          </cell>
          <cell r="AA429">
            <v>0.7</v>
          </cell>
          <cell r="AB429">
            <v>0.7</v>
          </cell>
          <cell r="AC429">
            <v>0.7</v>
          </cell>
          <cell r="AD429">
            <v>0.7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1</v>
          </cell>
          <cell r="Q430">
            <v>1</v>
          </cell>
          <cell r="R430">
            <v>1</v>
          </cell>
          <cell r="S430">
            <v>1</v>
          </cell>
          <cell r="T430">
            <v>1</v>
          </cell>
          <cell r="U430">
            <v>1</v>
          </cell>
          <cell r="V430">
            <v>1</v>
          </cell>
          <cell r="W430">
            <v>1</v>
          </cell>
          <cell r="X430">
            <v>1</v>
          </cell>
          <cell r="Y430">
            <v>1</v>
          </cell>
          <cell r="Z430">
            <v>0.9</v>
          </cell>
          <cell r="AA430">
            <v>0.7</v>
          </cell>
          <cell r="AB430">
            <v>0.7</v>
          </cell>
          <cell r="AC430">
            <v>0.7</v>
          </cell>
          <cell r="AD430">
            <v>0.7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1</v>
          </cell>
          <cell r="Q431">
            <v>1</v>
          </cell>
          <cell r="R431">
            <v>1</v>
          </cell>
          <cell r="S431">
            <v>1</v>
          </cell>
          <cell r="T431">
            <v>1</v>
          </cell>
          <cell r="U431">
            <v>1</v>
          </cell>
          <cell r="V431">
            <v>1</v>
          </cell>
          <cell r="W431">
            <v>1</v>
          </cell>
          <cell r="X431">
            <v>1</v>
          </cell>
          <cell r="Y431">
            <v>1</v>
          </cell>
          <cell r="Z431">
            <v>0.9</v>
          </cell>
          <cell r="AA431">
            <v>0.7</v>
          </cell>
          <cell r="AB431">
            <v>0.7</v>
          </cell>
          <cell r="AC431">
            <v>0.7</v>
          </cell>
          <cell r="AD431">
            <v>0.7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C61">
            <v>3</v>
          </cell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1.1250200000000001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15.437745984781689</v>
          </cell>
        </row>
        <row r="84">
          <cell r="O84">
            <v>0.17368421052631561</v>
          </cell>
          <cell r="AJ84">
            <v>1.6950649101050711E-2</v>
          </cell>
        </row>
        <row r="87">
          <cell r="C87">
            <v>228.05889789873785</v>
          </cell>
          <cell r="I87">
            <v>181.9773940246688</v>
          </cell>
          <cell r="M87">
            <v>153.9773940246688</v>
          </cell>
        </row>
        <row r="88">
          <cell r="I88">
            <v>46.08150387406905</v>
          </cell>
        </row>
        <row r="90">
          <cell r="I90">
            <v>0</v>
          </cell>
        </row>
        <row r="117">
          <cell r="B117">
            <v>46.081503874069043</v>
          </cell>
        </row>
        <row r="119">
          <cell r="B119">
            <v>144.52017266513039</v>
          </cell>
        </row>
        <row r="120">
          <cell r="T120">
            <v>30</v>
          </cell>
        </row>
        <row r="121">
          <cell r="T121">
            <v>10.5</v>
          </cell>
        </row>
        <row r="122">
          <cell r="B122">
            <v>13.938874662293228</v>
          </cell>
          <cell r="P122">
            <v>228.08546345378579</v>
          </cell>
        </row>
        <row r="123">
          <cell r="T123">
            <v>1.1250200000000001</v>
          </cell>
        </row>
        <row r="124">
          <cell r="B124">
            <v>0</v>
          </cell>
          <cell r="T124">
            <v>1.1250200000000001</v>
          </cell>
          <cell r="AB124">
            <v>28.05822663120167</v>
          </cell>
        </row>
        <row r="125">
          <cell r="AB125">
            <v>15.437745984781687</v>
          </cell>
        </row>
        <row r="127">
          <cell r="B127">
            <v>0</v>
          </cell>
          <cell r="U127">
            <v>198.08546345378579</v>
          </cell>
          <cell r="Z127">
            <v>208.58546345378579</v>
          </cell>
        </row>
        <row r="132">
          <cell r="AB132">
            <v>0.19604094114227577</v>
          </cell>
        </row>
        <row r="133">
          <cell r="AB133">
            <v>1.6950649101050711E-2</v>
          </cell>
        </row>
        <row r="139">
          <cell r="V139">
            <v>16.57971663388274</v>
          </cell>
        </row>
      </sheetData>
      <sheetData sheetId="13"/>
      <sheetData sheetId="14"/>
      <sheetData sheetId="15">
        <row r="110">
          <cell r="E110">
            <v>1</v>
          </cell>
          <cell r="F110">
            <v>2</v>
          </cell>
          <cell r="G110">
            <v>3</v>
          </cell>
          <cell r="H110">
            <v>4</v>
          </cell>
          <cell r="I110">
            <v>5</v>
          </cell>
          <cell r="J110">
            <v>6</v>
          </cell>
          <cell r="K110">
            <v>7</v>
          </cell>
          <cell r="L110">
            <v>8</v>
          </cell>
          <cell r="M110">
            <v>9</v>
          </cell>
          <cell r="N110">
            <v>10</v>
          </cell>
          <cell r="O110">
            <v>11</v>
          </cell>
          <cell r="P110">
            <v>12</v>
          </cell>
          <cell r="Q110">
            <v>13</v>
          </cell>
          <cell r="R110">
            <v>14</v>
          </cell>
          <cell r="S110">
            <v>15</v>
          </cell>
        </row>
        <row r="111">
          <cell r="A111">
            <v>1</v>
          </cell>
          <cell r="B111">
            <v>1</v>
          </cell>
          <cell r="E111">
            <v>19.452857142857148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A112">
            <v>1</v>
          </cell>
          <cell r="B112">
            <v>2</v>
          </cell>
          <cell r="E112">
            <v>2.8171428571428581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A113">
            <v>1</v>
          </cell>
          <cell r="B113">
            <v>3</v>
          </cell>
          <cell r="E113">
            <v>1.4280000000000004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A114">
            <v>1</v>
          </cell>
          <cell r="B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A115">
            <v>1</v>
          </cell>
          <cell r="B115">
            <v>5</v>
          </cell>
          <cell r="E115">
            <v>0.17000000000000007</v>
          </cell>
          <cell r="F115">
            <v>0.3</v>
          </cell>
          <cell r="G115">
            <v>0</v>
          </cell>
          <cell r="H115">
            <v>0.34</v>
          </cell>
          <cell r="I115">
            <v>0</v>
          </cell>
          <cell r="J115">
            <v>0</v>
          </cell>
          <cell r="K115">
            <v>0</v>
          </cell>
          <cell r="L115">
            <v>3.7495090725114917</v>
          </cell>
          <cell r="M115">
            <v>0</v>
          </cell>
          <cell r="N115">
            <v>0</v>
          </cell>
          <cell r="O115">
            <v>0.1</v>
          </cell>
          <cell r="P115">
            <v>0.01</v>
          </cell>
          <cell r="Q115">
            <v>0</v>
          </cell>
          <cell r="R115">
            <v>0</v>
          </cell>
          <cell r="S115">
            <v>0</v>
          </cell>
        </row>
        <row r="116">
          <cell r="A116">
            <v>1</v>
          </cell>
          <cell r="B116">
            <v>6</v>
          </cell>
          <cell r="E116">
            <v>0</v>
          </cell>
          <cell r="F116">
            <v>0.8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A117">
            <v>1</v>
          </cell>
          <cell r="B117">
            <v>7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A118">
            <v>1</v>
          </cell>
          <cell r="B118">
            <v>8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A119">
            <v>1</v>
          </cell>
          <cell r="B119">
            <v>9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A120">
            <v>2</v>
          </cell>
          <cell r="B120">
            <v>1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A121">
            <v>2</v>
          </cell>
          <cell r="B121">
            <v>2</v>
          </cell>
          <cell r="E121">
            <v>29.749999999999993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A122">
            <v>2</v>
          </cell>
          <cell r="B122">
            <v>3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A123">
            <v>2</v>
          </cell>
          <cell r="B123">
            <v>4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A124">
            <v>2</v>
          </cell>
          <cell r="B124">
            <v>5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A125">
            <v>2</v>
          </cell>
          <cell r="B125">
            <v>6</v>
          </cell>
          <cell r="E125">
            <v>4.8960000000000008</v>
          </cell>
          <cell r="F125">
            <v>0.1</v>
          </cell>
          <cell r="G125">
            <v>0</v>
          </cell>
          <cell r="H125">
            <v>1.4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3.9872439030664752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A126">
            <v>2</v>
          </cell>
          <cell r="B126">
            <v>7</v>
          </cell>
          <cell r="E126">
            <v>0</v>
          </cell>
          <cell r="F126">
            <v>0.4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A127">
            <v>2</v>
          </cell>
          <cell r="B127">
            <v>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A128">
            <v>2</v>
          </cell>
          <cell r="B128">
            <v>9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A129">
            <v>2</v>
          </cell>
          <cell r="B129">
            <v>10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A130">
            <v>3</v>
          </cell>
          <cell r="B130">
            <v>1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A131">
            <v>3</v>
          </cell>
          <cell r="B131">
            <v>2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A132">
            <v>3</v>
          </cell>
          <cell r="B132">
            <v>3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A133">
            <v>3</v>
          </cell>
          <cell r="B133">
            <v>4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0.2</v>
          </cell>
          <cell r="R133">
            <v>0</v>
          </cell>
          <cell r="S133">
            <v>0</v>
          </cell>
        </row>
        <row r="134">
          <cell r="A134">
            <v>3</v>
          </cell>
          <cell r="B134">
            <v>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A135">
            <v>3</v>
          </cell>
          <cell r="B135">
            <v>6</v>
          </cell>
          <cell r="E135">
            <v>4.08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4.4112632469175797</v>
          </cell>
          <cell r="N135">
            <v>0</v>
          </cell>
          <cell r="O135">
            <v>3.0000000000000001E-3</v>
          </cell>
          <cell r="P135">
            <v>2E-3</v>
          </cell>
          <cell r="Q135">
            <v>0</v>
          </cell>
          <cell r="R135">
            <v>0</v>
          </cell>
          <cell r="S135">
            <v>0</v>
          </cell>
        </row>
        <row r="136">
          <cell r="A136">
            <v>3</v>
          </cell>
          <cell r="B136">
            <v>7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A137">
            <v>3</v>
          </cell>
          <cell r="B137">
            <v>8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A138">
            <v>3</v>
          </cell>
          <cell r="B138">
            <v>9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A139">
            <v>3</v>
          </cell>
          <cell r="B139">
            <v>10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A140">
            <v>4</v>
          </cell>
          <cell r="B140">
            <v>1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A141">
            <v>4</v>
          </cell>
          <cell r="B141">
            <v>2</v>
          </cell>
          <cell r="E141">
            <v>21.857142857142858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A142">
            <v>4</v>
          </cell>
          <cell r="B142">
            <v>3</v>
          </cell>
          <cell r="E142">
            <v>0</v>
          </cell>
          <cell r="F142">
            <v>0</v>
          </cell>
          <cell r="G142">
            <v>3.6428571428571432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A143">
            <v>4</v>
          </cell>
          <cell r="B143">
            <v>4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A144">
            <v>4</v>
          </cell>
          <cell r="B144">
            <v>5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A145">
            <v>4</v>
          </cell>
          <cell r="B145">
            <v>6</v>
          </cell>
          <cell r="E145">
            <v>4.895999999999999</v>
          </cell>
          <cell r="F145">
            <v>0.4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0.32548929820950812</v>
          </cell>
          <cell r="N145">
            <v>0</v>
          </cell>
          <cell r="O145">
            <v>3.0000000000000001E-3</v>
          </cell>
          <cell r="P145">
            <v>2E-3</v>
          </cell>
          <cell r="Q145">
            <v>0.2</v>
          </cell>
          <cell r="R145">
            <v>0</v>
          </cell>
          <cell r="S145">
            <v>0</v>
          </cell>
        </row>
        <row r="146">
          <cell r="A146">
            <v>4</v>
          </cell>
          <cell r="B146">
            <v>7</v>
          </cell>
          <cell r="E146">
            <v>0</v>
          </cell>
          <cell r="F146">
            <v>0.1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A147">
            <v>4</v>
          </cell>
          <cell r="B147">
            <v>8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A148">
            <v>4</v>
          </cell>
          <cell r="B148">
            <v>9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A149">
            <v>4</v>
          </cell>
          <cell r="B149">
            <v>10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A150">
            <v>5</v>
          </cell>
          <cell r="B150">
            <v>1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A151">
            <v>5</v>
          </cell>
          <cell r="B151">
            <v>2</v>
          </cell>
          <cell r="E151">
            <v>21.857142857142858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A152">
            <v>5</v>
          </cell>
          <cell r="B152">
            <v>3</v>
          </cell>
          <cell r="E152">
            <v>0</v>
          </cell>
          <cell r="F152">
            <v>0</v>
          </cell>
          <cell r="G152">
            <v>3.6428571428571428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A153">
            <v>5</v>
          </cell>
          <cell r="B153">
            <v>4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A154">
            <v>5</v>
          </cell>
          <cell r="B154">
            <v>5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A155">
            <v>5</v>
          </cell>
          <cell r="B155">
            <v>6</v>
          </cell>
          <cell r="E155">
            <v>6.0451999999999995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3.0514621707141392</v>
          </cell>
          <cell r="N155">
            <v>0</v>
          </cell>
          <cell r="O155">
            <v>3.0000000000000001E-3</v>
          </cell>
          <cell r="P155">
            <v>2E-3</v>
          </cell>
          <cell r="Q155">
            <v>0.2</v>
          </cell>
          <cell r="R155">
            <v>0</v>
          </cell>
          <cell r="S155">
            <v>0</v>
          </cell>
        </row>
        <row r="156">
          <cell r="A156">
            <v>5</v>
          </cell>
          <cell r="B156">
            <v>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A157">
            <v>5</v>
          </cell>
          <cell r="B157">
            <v>8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A158">
            <v>5</v>
          </cell>
          <cell r="B158">
            <v>9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A159">
            <v>5</v>
          </cell>
          <cell r="B159">
            <v>10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</sheetData>
      <sheetData sheetId="16"/>
      <sheetData sheetId="17"/>
      <sheetData sheetId="18"/>
      <sheetData sheetId="19">
        <row r="3">
          <cell r="AA3" t="str">
            <v xml:space="preserve">SA Crude steel production </v>
          </cell>
        </row>
      </sheetData>
      <sheetData sheetId="20">
        <row r="5">
          <cell r="C5">
            <v>4474699</v>
          </cell>
        </row>
      </sheetData>
      <sheetData sheetId="21"/>
      <sheetData sheetId="2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I&amp;S model detail"/>
      <sheetName val="SA Iron &amp; Steel Production"/>
      <sheetName val="AcelorMittal sus report data"/>
      <sheetName val="Historical data"/>
      <sheetName val="Extracts from model"/>
      <sheetName val="Extracts from update model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references"/>
      <sheetName val="Intermediate output"/>
      <sheetName val="Land Use"/>
      <sheetName val="Flows"/>
      <sheetName val="CostPerCapita"/>
      <sheetName val="CostAbsolute"/>
      <sheetName val="AQ Outputs"/>
      <sheetName val="AQImpactHInv"/>
      <sheetName val="AQImpactLInv"/>
      <sheetName val="Other AQ Sources"/>
      <sheetName val="Conversions"/>
      <sheetName val="Global assumptions"/>
      <sheetName val="Constants"/>
      <sheetName val="Structure of the model"/>
      <sheetName val="I.a"/>
      <sheetName val="I.b"/>
      <sheetName val="II.a"/>
      <sheetName val="III.a.1"/>
      <sheetName val="III.a.2"/>
      <sheetName val="III.b"/>
      <sheetName val="III.c"/>
      <sheetName val="III.d"/>
      <sheetName val="IV.a"/>
      <sheetName val="IV.b"/>
      <sheetName val="IV.c"/>
      <sheetName val="V.a"/>
      <sheetName val="V.b"/>
      <sheetName val="VI.a"/>
      <sheetName val="VI.b"/>
      <sheetName val="VI.c"/>
      <sheetName val="VII.a"/>
      <sheetName val="VII.b"/>
      <sheetName val="VII.c"/>
      <sheetName val="VIII.a"/>
      <sheetName val="IX.a"/>
      <sheetName val="IX.c"/>
      <sheetName val="X.a"/>
      <sheetName val="X.b"/>
      <sheetName val="XI.a"/>
      <sheetName val="XII.a"/>
      <sheetName val="XII.b"/>
      <sheetName val="XII.c"/>
      <sheetName val="XII.e"/>
      <sheetName val="XIV.a"/>
      <sheetName val="XV.a"/>
      <sheetName val="XV.b"/>
      <sheetName val="XVI.a"/>
      <sheetName val="XVI.b"/>
      <sheetName val="XVII.a"/>
      <sheetName val="XVIII.a"/>
      <sheetName val="2007 (Actual, frozen)"/>
      <sheetName val="2007 (Consistent)"/>
      <sheetName val="2007"/>
      <sheetName val="2010"/>
      <sheetName val="2015"/>
      <sheetName val="2020"/>
      <sheetName val="2025"/>
      <sheetName val="2030"/>
      <sheetName val="2035"/>
      <sheetName val="2040"/>
      <sheetName val="2045"/>
      <sheetName val="2050"/>
      <sheetName val="DUKES 09 (1.2)"/>
      <sheetName val="DUKES 09 (1.9)"/>
      <sheetName val="DUKES 09 (2.5)"/>
      <sheetName val="DUKES 09 (5.1)"/>
      <sheetName val="DUKES 09 (5.6)"/>
      <sheetName val="DUKES 09 (7.2)"/>
      <sheetName val="DUKES 09 (7.4)"/>
      <sheetName val="DUKES 09 (A.1)"/>
      <sheetName val="DECC Energy Cons. (1.14)"/>
      <sheetName val="DECC Energy Cons. (4.1)"/>
    </sheetNames>
    <sheetDataSet>
      <sheetData sheetId="0" refreshError="1"/>
      <sheetData sheetId="1">
        <row r="3">
          <cell r="C3" t="str">
            <v>TWh</v>
          </cell>
        </row>
        <row r="5">
          <cell r="C5" t="str">
            <v>GW</v>
          </cell>
        </row>
        <row r="7">
          <cell r="C7" t="str">
            <v>km^2</v>
          </cell>
        </row>
        <row r="9">
          <cell r="C9" t="str">
            <v>£m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DRI ROI"/>
      <sheetName val="Prices"/>
      <sheetName val="Deflators"/>
      <sheetName val="AMSA 2018 IA report"/>
      <sheetName val="Facility technicals and LCOE"/>
      <sheetName val="LCOE check against SATIM"/>
      <sheetName val="LCOE compare to SATIM results"/>
      <sheetName val="Facility technicals and LCO (2)"/>
      <sheetName val="HDRI LCOE 2030"/>
      <sheetName val="Hydrogen data"/>
      <sheetName val="Vogl paper"/>
      <sheetName val="Eskom Tariffs"/>
      <sheetName val="8ts format"/>
      <sheetName val="SATIM input for HDRI"/>
      <sheetName val="calculate H-storage size"/>
      <sheetName val="SATIM results raw"/>
      <sheetName val="Compare cost to BFBOF"/>
      <sheetName val="Sheet5"/>
      <sheetName val="Model results comments"/>
      <sheetName val="Full HDRI and energy RES"/>
      <sheetName val="checking PEM params"/>
      <sheetName val="Bruno's LCOE example 6"/>
    </sheetNames>
    <sheetDataSet>
      <sheetData sheetId="0"/>
      <sheetData sheetId="1">
        <row r="16">
          <cell r="C16">
            <v>318.83499999999998</v>
          </cell>
        </row>
        <row r="52">
          <cell r="C52">
            <v>0.5</v>
          </cell>
        </row>
        <row r="70">
          <cell r="M70">
            <v>34</v>
          </cell>
        </row>
      </sheetData>
      <sheetData sheetId="2">
        <row r="8">
          <cell r="H8">
            <v>0.85343228200371057</v>
          </cell>
        </row>
        <row r="15">
          <cell r="C15">
            <v>13.054536363636366</v>
          </cell>
          <cell r="G15">
            <v>14.435708333333301</v>
          </cell>
        </row>
        <row r="25">
          <cell r="D25">
            <v>1.1499999999999999</v>
          </cell>
        </row>
      </sheetData>
      <sheetData sheetId="3">
        <row r="12">
          <cell r="D12">
            <v>1450.2905100064559</v>
          </cell>
        </row>
      </sheetData>
      <sheetData sheetId="4">
        <row r="4">
          <cell r="D4">
            <v>20</v>
          </cell>
        </row>
        <row r="6">
          <cell r="H6">
            <v>1</v>
          </cell>
        </row>
        <row r="18">
          <cell r="M18">
            <v>1504000</v>
          </cell>
          <cell r="N18">
            <v>51000000</v>
          </cell>
        </row>
        <row r="23">
          <cell r="E23">
            <v>1000000</v>
          </cell>
          <cell r="M23">
            <v>1000000</v>
          </cell>
        </row>
        <row r="24">
          <cell r="AA24">
            <v>0.9</v>
          </cell>
        </row>
        <row r="56">
          <cell r="M56">
            <v>3035714.2857142854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gl diagram"/>
      <sheetName val="DME 2008"/>
      <sheetName val="Vogl paper"/>
      <sheetName val="Hydrogen data"/>
      <sheetName val="Cost effectiveness"/>
      <sheetName val="AMSA"/>
      <sheetName val="RES"/>
      <sheetName val="ProcData_Exist"/>
      <sheetName val="Eskom Tariffs"/>
      <sheetName val="Current and future I&amp;S in SA"/>
      <sheetName val="8ts for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&amp;S classifications"/>
      <sheetName val="Energy and Emissions"/>
      <sheetName val="Calibration check"/>
      <sheetName val="Energy Intensity fundamentals"/>
      <sheetName val="Energy Intensity"/>
      <sheetName val="I&amp;S capacity + production"/>
      <sheetName val="SATIM input"/>
      <sheetName val="Sheet2"/>
      <sheetName val="Scrap"/>
      <sheetName val="Coke"/>
      <sheetName val="AMSA IAR"/>
      <sheetName val="T. Napp - I&amp;S intensity"/>
      <sheetName val="AMSA - Saldanha"/>
      <sheetName val="AMSA 2006 fin presentation"/>
      <sheetName val="AMSA - Interim Fin report 2019"/>
      <sheetName val="AMSA - Vndbjl park"/>
      <sheetName val="Blast furnace JPN info"/>
      <sheetName val="AcelorMittal sus report data"/>
      <sheetName val="Evraz Highveld"/>
    </sheetNames>
    <sheetDataSet>
      <sheetData sheetId="0"/>
      <sheetData sheetId="1"/>
      <sheetData sheetId="2"/>
      <sheetData sheetId="3"/>
      <sheetData sheetId="4"/>
      <sheetData sheetId="5"/>
      <sheetData sheetId="6">
        <row r="12">
          <cell r="D12">
            <v>4.9000000000000004</v>
          </cell>
          <cell r="E12">
            <v>4.9000000000000004</v>
          </cell>
          <cell r="F12">
            <v>4.9000000000000004</v>
          </cell>
          <cell r="G12">
            <v>4.9000000000000004</v>
          </cell>
          <cell r="H12">
            <v>4.9000000000000004</v>
          </cell>
          <cell r="I12">
            <v>4.9000000000000004</v>
          </cell>
          <cell r="J12">
            <v>4.9000000000000004</v>
          </cell>
          <cell r="K12">
            <v>4.9000000000000004</v>
          </cell>
          <cell r="L12">
            <v>4.9000000000000004</v>
          </cell>
          <cell r="M12">
            <v>4.9000000000000004</v>
          </cell>
          <cell r="N12">
            <v>4.9000000000000004</v>
          </cell>
          <cell r="O12">
            <v>4.9000000000000004</v>
          </cell>
          <cell r="P12">
            <v>4.9000000000000004</v>
          </cell>
          <cell r="Q12">
            <v>4.9000000000000004</v>
          </cell>
          <cell r="R12">
            <v>4.9000000000000004</v>
          </cell>
          <cell r="S12">
            <v>4.9000000000000004</v>
          </cell>
          <cell r="T12">
            <v>4.9000000000000004</v>
          </cell>
          <cell r="U12">
            <v>4.9000000000000004</v>
          </cell>
          <cell r="V12">
            <v>4.9000000000000004</v>
          </cell>
          <cell r="W12">
            <v>4.9000000000000004</v>
          </cell>
          <cell r="X12">
            <v>4.9000000000000004</v>
          </cell>
          <cell r="Y12">
            <v>4.9000000000000004</v>
          </cell>
          <cell r="Z12">
            <v>4.9000000000000004</v>
          </cell>
          <cell r="AA12">
            <v>4.9000000000000004</v>
          </cell>
          <cell r="AB12">
            <v>4.9000000000000004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</row>
        <row r="13">
          <cell r="D13">
            <v>1.2400000000000002</v>
          </cell>
          <cell r="E13">
            <v>1.2400000000000002</v>
          </cell>
          <cell r="F13">
            <v>1.2400000000000002</v>
          </cell>
          <cell r="G13">
            <v>1.2400000000000002</v>
          </cell>
          <cell r="H13">
            <v>1.2400000000000002</v>
          </cell>
          <cell r="I13">
            <v>1.2400000000000002</v>
          </cell>
          <cell r="J13">
            <v>1.2400000000000002</v>
          </cell>
          <cell r="K13">
            <v>1.2400000000000002</v>
          </cell>
          <cell r="L13">
            <v>1.2400000000000002</v>
          </cell>
          <cell r="M13">
            <v>1.2400000000000002</v>
          </cell>
          <cell r="N13">
            <v>1.2400000000000002</v>
          </cell>
          <cell r="O13">
            <v>1.2400000000000002</v>
          </cell>
          <cell r="P13">
            <v>1.2400000000000002</v>
          </cell>
          <cell r="Q13">
            <v>1.2400000000000002</v>
          </cell>
          <cell r="R13">
            <v>1.2400000000000002</v>
          </cell>
          <cell r="S13">
            <v>1.2400000000000002</v>
          </cell>
          <cell r="T13">
            <v>1.2400000000000002</v>
          </cell>
          <cell r="U13">
            <v>1.2400000000000002</v>
          </cell>
          <cell r="V13">
            <v>1.2400000000000002</v>
          </cell>
          <cell r="W13">
            <v>1.2400000000000002</v>
          </cell>
          <cell r="X13">
            <v>1.2400000000000002</v>
          </cell>
          <cell r="Y13">
            <v>1.2400000000000002</v>
          </cell>
          <cell r="Z13">
            <v>1.2400000000000002</v>
          </cell>
          <cell r="AA13">
            <v>1.2400000000000002</v>
          </cell>
          <cell r="AB13">
            <v>1.2400000000000002</v>
          </cell>
          <cell r="AC13">
            <v>1.2400000000000002</v>
          </cell>
          <cell r="AD13">
            <v>1.2400000000000002</v>
          </cell>
          <cell r="AE13">
            <v>1.2400000000000002</v>
          </cell>
          <cell r="AF13">
            <v>1.2400000000000002</v>
          </cell>
          <cell r="AG13">
            <v>1.2400000000000002</v>
          </cell>
          <cell r="AH13">
            <v>1.2400000000000002</v>
          </cell>
          <cell r="AI13">
            <v>1.2400000000000002</v>
          </cell>
          <cell r="AJ13">
            <v>1.2400000000000002</v>
          </cell>
          <cell r="AK13">
            <v>1.2400000000000002</v>
          </cell>
          <cell r="AL13">
            <v>1.2400000000000002</v>
          </cell>
          <cell r="AM13">
            <v>0</v>
          </cell>
        </row>
        <row r="14">
          <cell r="D14">
            <v>1.44</v>
          </cell>
          <cell r="E14">
            <v>1.44</v>
          </cell>
          <cell r="F14">
            <v>1.44</v>
          </cell>
          <cell r="G14">
            <v>1.44</v>
          </cell>
          <cell r="H14">
            <v>1.44</v>
          </cell>
          <cell r="I14">
            <v>1.44</v>
          </cell>
          <cell r="J14">
            <v>1.44</v>
          </cell>
          <cell r="K14">
            <v>1.44</v>
          </cell>
          <cell r="L14">
            <v>1.44</v>
          </cell>
          <cell r="M14">
            <v>1.44</v>
          </cell>
          <cell r="N14">
            <v>1.44</v>
          </cell>
          <cell r="O14">
            <v>1.44</v>
          </cell>
          <cell r="P14">
            <v>1.44</v>
          </cell>
          <cell r="Q14">
            <v>1.44</v>
          </cell>
          <cell r="R14">
            <v>1.44</v>
          </cell>
          <cell r="S14">
            <v>1.44</v>
          </cell>
          <cell r="T14">
            <v>1.44</v>
          </cell>
          <cell r="U14">
            <v>1.44</v>
          </cell>
          <cell r="V14">
            <v>1.44</v>
          </cell>
          <cell r="W14">
            <v>1.44</v>
          </cell>
          <cell r="X14">
            <v>1.44</v>
          </cell>
          <cell r="Y14">
            <v>1.44</v>
          </cell>
          <cell r="Z14">
            <v>1.44</v>
          </cell>
          <cell r="AA14">
            <v>1.44</v>
          </cell>
          <cell r="AB14">
            <v>1.44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</row>
        <row r="15"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  <cell r="Z15">
            <v>1</v>
          </cell>
          <cell r="AA15">
            <v>1</v>
          </cell>
          <cell r="AB15">
            <v>1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</row>
        <row r="16">
          <cell r="D16">
            <v>1.7200000000000002</v>
          </cell>
          <cell r="E16">
            <v>1.7200000000000002</v>
          </cell>
          <cell r="F16">
            <v>1.7200000000000002</v>
          </cell>
          <cell r="G16">
            <v>1.7200000000000002</v>
          </cell>
          <cell r="H16">
            <v>1.3200000000000003</v>
          </cell>
          <cell r="I16">
            <v>1.3200000000000003</v>
          </cell>
          <cell r="J16">
            <v>1.3200000000000003</v>
          </cell>
          <cell r="K16">
            <v>1.3200000000000003</v>
          </cell>
          <cell r="L16">
            <v>1.3200000000000003</v>
          </cell>
          <cell r="M16">
            <v>1.3200000000000003</v>
          </cell>
          <cell r="N16">
            <v>1.3200000000000003</v>
          </cell>
          <cell r="O16">
            <v>1.3200000000000003</v>
          </cell>
          <cell r="P16">
            <v>1.3200000000000003</v>
          </cell>
          <cell r="Q16">
            <v>1.3200000000000003</v>
          </cell>
          <cell r="R16">
            <v>1.3200000000000003</v>
          </cell>
          <cell r="S16">
            <v>1.3200000000000003</v>
          </cell>
          <cell r="T16">
            <v>1.3200000000000003</v>
          </cell>
          <cell r="U16">
            <v>1.3200000000000003</v>
          </cell>
          <cell r="V16">
            <v>1.3200000000000003</v>
          </cell>
          <cell r="W16">
            <v>1.3200000000000003</v>
          </cell>
          <cell r="X16">
            <v>1.3200000000000003</v>
          </cell>
          <cell r="Y16">
            <v>1.3200000000000003</v>
          </cell>
          <cell r="Z16">
            <v>1.3200000000000003</v>
          </cell>
          <cell r="AA16">
            <v>1.3200000000000003</v>
          </cell>
          <cell r="AB16">
            <v>1.3200000000000003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</row>
        <row r="22">
          <cell r="C22">
            <v>0.6889960595189083</v>
          </cell>
          <cell r="D22">
            <v>3.3</v>
          </cell>
          <cell r="E22">
            <v>3.3760806916426511</v>
          </cell>
          <cell r="F22">
            <v>3.0907780979827089</v>
          </cell>
          <cell r="G22">
            <v>3.1641891891891891</v>
          </cell>
          <cell r="H22">
            <v>3.1641891891891891</v>
          </cell>
          <cell r="I22">
            <v>3.0330810810810807</v>
          </cell>
          <cell r="J22">
            <v>3.2032972972972971</v>
          </cell>
          <cell r="K22">
            <v>3.0300947810555652</v>
          </cell>
          <cell r="L22">
            <v>3.0300947810555652</v>
          </cell>
        </row>
        <row r="23">
          <cell r="C23">
            <v>0.99830343032443969</v>
          </cell>
          <cell r="D23">
            <v>1.21</v>
          </cell>
          <cell r="E23">
            <v>1.2378962536023055</v>
          </cell>
          <cell r="F23">
            <v>1.13328530259366</v>
          </cell>
          <cell r="G23">
            <v>0.96299999999999997</v>
          </cell>
          <cell r="H23">
            <v>0.83199999999999996</v>
          </cell>
          <cell r="I23">
            <v>1.1180000000000001</v>
          </cell>
          <cell r="J23">
            <v>1.0860000000000001</v>
          </cell>
          <cell r="K23">
            <v>1.0860000000000001</v>
          </cell>
          <cell r="L23">
            <v>0</v>
          </cell>
        </row>
        <row r="24">
          <cell r="C24">
            <v>0.67493195645212933</v>
          </cell>
          <cell r="D24">
            <v>0.95</v>
          </cell>
          <cell r="E24">
            <v>0.97190201729106618</v>
          </cell>
          <cell r="F24">
            <v>0.88976945244956762</v>
          </cell>
          <cell r="G24">
            <v>0.77481081081081082</v>
          </cell>
          <cell r="H24">
            <v>0.77481081081081082</v>
          </cell>
          <cell r="I24">
            <v>0.75891891891891894</v>
          </cell>
          <cell r="J24">
            <v>0.80270270270270283</v>
          </cell>
          <cell r="K24">
            <v>0.80270270270270283</v>
          </cell>
          <cell r="L24">
            <v>0.76492845786963448</v>
          </cell>
        </row>
        <row r="25">
          <cell r="C25">
            <v>0.63429394812680118</v>
          </cell>
          <cell r="D25">
            <v>0.62</v>
          </cell>
          <cell r="E25">
            <v>0.63429394812680118</v>
          </cell>
          <cell r="F25">
            <v>0.5806916426512968</v>
          </cell>
          <cell r="G25">
            <v>0.1360000000000007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C26">
            <v>1</v>
          </cell>
          <cell r="D26">
            <v>0.86</v>
          </cell>
          <cell r="E26">
            <v>0.87982708933717579</v>
          </cell>
          <cell r="F26">
            <v>0.8054755043227666</v>
          </cell>
          <cell r="G26">
            <v>1.3620000000000003</v>
          </cell>
          <cell r="H26">
            <v>1.3200000000000003</v>
          </cell>
          <cell r="I26">
            <v>1.3200000000000003</v>
          </cell>
          <cell r="J26">
            <v>1.2079999999999993</v>
          </cell>
          <cell r="K26">
            <v>1.2079999999999993</v>
          </cell>
          <cell r="L26">
            <v>1.2079999999999993</v>
          </cell>
        </row>
        <row r="29">
          <cell r="D29" t="str">
            <v>-0.126</v>
          </cell>
          <cell r="E29" t="str">
            <v>-0.126</v>
          </cell>
          <cell r="F29" t="str">
            <v>-0.126</v>
          </cell>
          <cell r="G29" t="str">
            <v>-0.217</v>
          </cell>
          <cell r="H29" t="str">
            <v>-0.221</v>
          </cell>
          <cell r="I29" t="str">
            <v>-0.216</v>
          </cell>
          <cell r="J29" t="str">
            <v>-0.196</v>
          </cell>
          <cell r="K29" t="str">
            <v>-0.201</v>
          </cell>
          <cell r="L29" t="str">
            <v>-0.246</v>
          </cell>
        </row>
        <row r="30">
          <cell r="D30" t="str">
            <v>-0.121</v>
          </cell>
          <cell r="E30" t="str">
            <v>-0.121</v>
          </cell>
          <cell r="F30" t="str">
            <v>-0.121</v>
          </cell>
          <cell r="G30" t="str">
            <v>-0.209</v>
          </cell>
          <cell r="H30" t="str">
            <v>-0.212</v>
          </cell>
          <cell r="I30" t="str">
            <v>-0.208</v>
          </cell>
          <cell r="J30" t="str">
            <v>-0.188</v>
          </cell>
          <cell r="K30" t="str">
            <v>-0.193</v>
          </cell>
          <cell r="L30" t="str">
            <v>-0.237</v>
          </cell>
        </row>
        <row r="57">
          <cell r="C57">
            <v>16.42657042314022</v>
          </cell>
        </row>
        <row r="58">
          <cell r="C58">
            <v>16.42657042314022</v>
          </cell>
        </row>
        <row r="59">
          <cell r="C59">
            <v>22.151676172353415</v>
          </cell>
        </row>
        <row r="60">
          <cell r="C60">
            <v>27.743824076135091</v>
          </cell>
        </row>
        <row r="61">
          <cell r="C61">
            <v>27.743824076135091</v>
          </cell>
        </row>
        <row r="62">
          <cell r="C62"/>
        </row>
        <row r="63">
          <cell r="C63">
            <v>44.655000000000001</v>
          </cell>
        </row>
        <row r="64">
          <cell r="C64">
            <v>5.4887322803632257</v>
          </cell>
        </row>
        <row r="65">
          <cell r="C65">
            <v>5.4887322803632257</v>
          </cell>
        </row>
        <row r="82">
          <cell r="D82">
            <v>0.26361053874824431</v>
          </cell>
          <cell r="E82">
            <v>0.26624664413572674</v>
          </cell>
        </row>
        <row r="83">
          <cell r="D83">
            <v>0.74238447012267461</v>
          </cell>
          <cell r="E83">
            <v>0.74980831482390131</v>
          </cell>
        </row>
        <row r="84">
          <cell r="D84">
            <v>0</v>
          </cell>
          <cell r="E84">
            <v>0</v>
          </cell>
        </row>
        <row r="85">
          <cell r="D85">
            <v>0.77646494405992639</v>
          </cell>
          <cell r="E85">
            <v>0.78422959350052568</v>
          </cell>
        </row>
        <row r="86">
          <cell r="D86">
            <v>0.46153846153846151</v>
          </cell>
          <cell r="E86">
            <v>0.46615384615384614</v>
          </cell>
        </row>
        <row r="87">
          <cell r="D87">
            <v>0.12782206880423377</v>
          </cell>
          <cell r="E87">
            <v>0.12910028949227612</v>
          </cell>
        </row>
        <row r="88">
          <cell r="D88">
            <v>0.17508378988061105</v>
          </cell>
          <cell r="E88">
            <v>0.17683462777941716</v>
          </cell>
        </row>
        <row r="89">
          <cell r="D89">
            <v>0.74487768236857965</v>
          </cell>
          <cell r="E89">
            <v>0.75232645919226548</v>
          </cell>
        </row>
        <row r="90">
          <cell r="D90">
            <v>7.8007640891601907E-2</v>
          </cell>
          <cell r="E90">
            <v>7.8787717300517923E-2</v>
          </cell>
        </row>
        <row r="91">
          <cell r="D91">
            <v>0.46153846153846151</v>
          </cell>
          <cell r="E91">
            <v>0.46615384615384614</v>
          </cell>
        </row>
        <row r="92">
          <cell r="D92">
            <v>0.54033090194192068</v>
          </cell>
          <cell r="E92">
            <v>0.54573421096133989</v>
          </cell>
        </row>
        <row r="93">
          <cell r="D93">
            <v>0</v>
          </cell>
          <cell r="E93">
            <v>0</v>
          </cell>
        </row>
        <row r="94">
          <cell r="D94">
            <v>0</v>
          </cell>
          <cell r="E94">
            <v>0</v>
          </cell>
        </row>
        <row r="95">
          <cell r="D95">
            <v>0.11737260782301213</v>
          </cell>
          <cell r="E95">
            <v>0.11854633390124225</v>
          </cell>
        </row>
        <row r="96">
          <cell r="D96">
            <v>0</v>
          </cell>
          <cell r="E96">
            <v>0</v>
          </cell>
        </row>
        <row r="97">
          <cell r="D97">
            <v>3.6181323290069074E-2</v>
          </cell>
          <cell r="E97">
            <v>3.6543136522969769E-2</v>
          </cell>
        </row>
        <row r="98">
          <cell r="D98">
            <v>0</v>
          </cell>
          <cell r="E98">
            <v>0</v>
          </cell>
        </row>
        <row r="99">
          <cell r="D99">
            <v>0.12863089961074112</v>
          </cell>
          <cell r="E99">
            <v>0.12991720860684852</v>
          </cell>
        </row>
        <row r="100">
          <cell r="D100">
            <v>9.794992575659793E-3</v>
          </cell>
          <cell r="E100">
            <v>9.8929425014163911E-3</v>
          </cell>
        </row>
        <row r="101">
          <cell r="D101">
            <v>0</v>
          </cell>
          <cell r="E101">
            <v>0</v>
          </cell>
        </row>
        <row r="102">
          <cell r="D102">
            <v>3.2055167215532178E-2</v>
          </cell>
          <cell r="E102">
            <v>3.2375718887687498E-2</v>
          </cell>
        </row>
        <row r="103">
          <cell r="D103">
            <v>8.2531739996714287E-2</v>
          </cell>
          <cell r="E103">
            <v>8.3357057396681436E-2</v>
          </cell>
        </row>
        <row r="104">
          <cell r="D104">
            <v>0.12649141802067926</v>
          </cell>
          <cell r="E104">
            <v>0.12775633220088606</v>
          </cell>
        </row>
        <row r="105">
          <cell r="D105">
            <v>1.8359814649799511E-2</v>
          </cell>
          <cell r="E105">
            <v>1.8543412796297506E-2</v>
          </cell>
        </row>
        <row r="106">
          <cell r="D106">
            <v>7.6923076923076913E-2</v>
          </cell>
          <cell r="E106">
            <v>7.7692307692307686E-2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I&amp;S model detail"/>
      <sheetName val="SA Iron &amp; Steel Production"/>
      <sheetName val="AcelorMittal sus report data"/>
      <sheetName val="Historical data"/>
      <sheetName val="Extracts from model"/>
      <sheetName val="Extracts from update model"/>
      <sheetName val="Sheet1"/>
      <sheetName val="Sheet2"/>
      <sheetName val="Sheet3"/>
    </sheetNames>
    <sheetDataSet>
      <sheetData sheetId="0">
        <row r="80">
          <cell r="O80" t="str">
            <v>Coal</v>
          </cell>
          <cell r="P80" t="str">
            <v>Gas</v>
          </cell>
          <cell r="Q80" t="str">
            <v>Electricity</v>
          </cell>
          <cell r="R80" t="str">
            <v>Coke</v>
          </cell>
        </row>
        <row r="81">
          <cell r="B81" t="str">
            <v>BF-BOF</v>
          </cell>
          <cell r="C81">
            <v>4.9000000000000004</v>
          </cell>
          <cell r="D81">
            <v>3.3</v>
          </cell>
          <cell r="S81">
            <v>21.400691692311092</v>
          </cell>
        </row>
        <row r="82">
          <cell r="B82" t="str">
            <v>Scrap-EAF</v>
          </cell>
          <cell r="C82">
            <v>1.7200000000000002</v>
          </cell>
          <cell r="D82">
            <v>0.86</v>
          </cell>
          <cell r="S82">
            <v>10</v>
          </cell>
        </row>
        <row r="83">
          <cell r="B83" t="str">
            <v>DRI-EAF</v>
          </cell>
          <cell r="C83">
            <v>1.44</v>
          </cell>
          <cell r="D83">
            <v>0.95</v>
          </cell>
          <cell r="S83">
            <v>31.247950199170173</v>
          </cell>
        </row>
        <row r="84">
          <cell r="B84" t="str">
            <v>Corex-Conarc</v>
          </cell>
          <cell r="C84">
            <v>1.2400000000000002</v>
          </cell>
          <cell r="D84">
            <v>1.21</v>
          </cell>
          <cell r="S84">
            <v>21.51458852713521</v>
          </cell>
        </row>
        <row r="85">
          <cell r="B85" t="str">
            <v>Other-EAF</v>
          </cell>
          <cell r="C85">
            <v>1</v>
          </cell>
          <cell r="D85">
            <v>0.62</v>
          </cell>
          <cell r="S85">
            <v>37.074375174722789</v>
          </cell>
        </row>
        <row r="90">
          <cell r="O90">
            <v>0.20494664672805019</v>
          </cell>
          <cell r="P90">
            <v>0.23508585948217525</v>
          </cell>
          <cell r="Q90">
            <v>0.13801851523202419</v>
          </cell>
          <cell r="R90">
            <v>0.42194897855775038</v>
          </cell>
          <cell r="S90" t="str">
            <v>BF-BOF</v>
          </cell>
        </row>
        <row r="91">
          <cell r="O91">
            <v>0.25</v>
          </cell>
          <cell r="P91">
            <v>0</v>
          </cell>
          <cell r="Q91">
            <v>0.75</v>
          </cell>
          <cell r="R91">
            <v>0</v>
          </cell>
          <cell r="S91" t="str">
            <v>Scrap-EAF</v>
          </cell>
        </row>
        <row r="92">
          <cell r="O92">
            <v>0.66708375644280071</v>
          </cell>
          <cell r="P92">
            <v>1.2128795571687277E-2</v>
          </cell>
          <cell r="Q92">
            <v>0.32078744798551195</v>
          </cell>
          <cell r="R92">
            <v>0</v>
          </cell>
          <cell r="S92" t="str">
            <v>DRI-EAF</v>
          </cell>
        </row>
        <row r="93">
          <cell r="O93">
            <v>0.53173222372211926</v>
          </cell>
          <cell r="P93">
            <v>0</v>
          </cell>
          <cell r="Q93">
            <v>0.26282578074888002</v>
          </cell>
          <cell r="R93">
            <v>0.20544199552900064</v>
          </cell>
          <cell r="S93" t="str">
            <v>Corex-Conarc</v>
          </cell>
        </row>
        <row r="94">
          <cell r="O94">
            <v>0.55590957104118222</v>
          </cell>
          <cell r="P94">
            <v>3.0883865057843445E-2</v>
          </cell>
          <cell r="Q94">
            <v>0.41320656390097438</v>
          </cell>
          <cell r="R94">
            <v>0</v>
          </cell>
          <cell r="S94" t="str">
            <v>Other-EAF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ryce McCall" id="{75FFF413-91FC-4FE7-8095-FCC8656CB641}" userId="S::01425453@wf.uct.ac.za::bc1cdcf6-0dc9-4f2f-a1be-e4f2dea555d3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10" dT="2020-06-23T11:38:20.40" personId="{75FFF413-91FC-4FE7-8095-FCC8656CB641}" id="{9EC7A131-159B-4A9D-91E5-4E3FC963E337}">
    <text>https://arcelormittalsa.com/MittalAr09/html/AR_0_24.htm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.bin"/><Relationship Id="rId3" Type="http://schemas.openxmlformats.org/officeDocument/2006/relationships/hyperlink" Target="https://ec.europa.eu/eurostat/statistics-explained/index.php/Wages_and_labour_costs" TargetMode="External"/><Relationship Id="rId7" Type="http://schemas.openxmlformats.org/officeDocument/2006/relationships/hyperlink" Target="https://www.steelonthenet.com/files/pig-iron.html" TargetMode="External"/><Relationship Id="rId2" Type="http://schemas.openxmlformats.org/officeDocument/2006/relationships/hyperlink" Target="https://doi.org/10.1016/j.xcrp.2020.100174" TargetMode="External"/><Relationship Id="rId1" Type="http://schemas.openxmlformats.org/officeDocument/2006/relationships/hyperlink" Target="https://www.hydrogen.energy.gov/pdfs/review19/st001_ahluwalia_2019_o.pdf" TargetMode="External"/><Relationship Id="rId6" Type="http://schemas.openxmlformats.org/officeDocument/2006/relationships/hyperlink" Target="https://www.xe.com/currencycharts/?from=EUR&amp;to=USD&amp;view=5Y" TargetMode="External"/><Relationship Id="rId11" Type="http://schemas.openxmlformats.org/officeDocument/2006/relationships/comments" Target="../comments1.xml"/><Relationship Id="rId5" Type="http://schemas.openxmlformats.org/officeDocument/2006/relationships/hyperlink" Target="https://www.xe.com/currencycharts/?from=EUR&amp;to=USD&amp;view=5Y" TargetMode="External"/><Relationship Id="rId10" Type="http://schemas.openxmlformats.org/officeDocument/2006/relationships/vmlDrawing" Target="../drawings/vmlDrawing1.vml"/><Relationship Id="rId4" Type="http://schemas.openxmlformats.org/officeDocument/2006/relationships/hyperlink" Target="https://www.payscale.com/research/ZA/Employer=Scaw_Metals/Salary" TargetMode="External"/><Relationship Id="rId9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xe.com/currencycharts/?from=EUR&amp;to=USD&amp;view=5Y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www.xe.com/currencycharts/?from=EUR&amp;to=USD&amp;view=5Y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www.argusmedia.com/en/news/2121129-south-africa-bans-scrap-metal-exports-for-2-months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://www.steelonthenet.com/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www.arcelormittalsa.com/Portals/0/mittal_steel_eng1.pdf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6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arcelormittalsa.com/Whoweare/Operations/SaldanhaWorks/Overview.aspx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349B2-4A4A-458C-A7B5-B840148DD1BE}">
  <dimension ref="C1:E5"/>
  <sheetViews>
    <sheetView workbookViewId="0">
      <selection activeCell="D5" sqref="D5"/>
    </sheetView>
  </sheetViews>
  <sheetFormatPr defaultRowHeight="15" x14ac:dyDescent="0.25"/>
  <cols>
    <col min="3" max="3" width="47.7109375" style="413" customWidth="1"/>
  </cols>
  <sheetData>
    <row r="1" spans="3:5" x14ac:dyDescent="0.25">
      <c r="C1" s="666" t="s">
        <v>1553</v>
      </c>
      <c r="D1" s="136" t="s">
        <v>1554</v>
      </c>
      <c r="E1" s="136" t="s">
        <v>1555</v>
      </c>
    </row>
    <row r="2" spans="3:5" ht="30" x14ac:dyDescent="0.25">
      <c r="C2" s="413" t="s">
        <v>1556</v>
      </c>
      <c r="D2" t="s">
        <v>1557</v>
      </c>
      <c r="E2" s="667">
        <v>44452</v>
      </c>
    </row>
    <row r="3" spans="3:5" x14ac:dyDescent="0.25">
      <c r="C3" s="413" t="s">
        <v>1558</v>
      </c>
      <c r="D3" t="s">
        <v>1557</v>
      </c>
      <c r="E3" s="668">
        <v>44460</v>
      </c>
    </row>
    <row r="4" spans="3:5" x14ac:dyDescent="0.25">
      <c r="C4" s="413" t="s">
        <v>1559</v>
      </c>
    </row>
    <row r="5" spans="3:5" ht="30" x14ac:dyDescent="0.25">
      <c r="C5" s="413" t="s">
        <v>1560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25225-070E-4D7E-B3F4-A44CAC0568A6}">
  <sheetPr>
    <tabColor theme="1"/>
  </sheetPr>
  <dimension ref="B1:X36"/>
  <sheetViews>
    <sheetView workbookViewId="0">
      <selection activeCell="E33" sqref="E33"/>
    </sheetView>
  </sheetViews>
  <sheetFormatPr defaultRowHeight="12.75" x14ac:dyDescent="0.2"/>
  <cols>
    <col min="1" max="1" width="9.140625" style="555"/>
    <col min="2" max="2" width="13.5703125" style="555" customWidth="1"/>
    <col min="3" max="9" width="9.140625" style="555"/>
    <col min="10" max="11" width="10.42578125" style="555" bestFit="1" customWidth="1"/>
    <col min="12" max="12" width="10.85546875" style="555" bestFit="1" customWidth="1"/>
    <col min="13" max="16384" width="9.140625" style="555"/>
  </cols>
  <sheetData>
    <row r="1" spans="2:24" x14ac:dyDescent="0.2">
      <c r="P1" s="555">
        <v>11.914999999999999</v>
      </c>
      <c r="Q1" s="572" t="s">
        <v>1033</v>
      </c>
    </row>
    <row r="2" spans="2:24" x14ac:dyDescent="0.2">
      <c r="B2" s="567" t="s">
        <v>1032</v>
      </c>
    </row>
    <row r="3" spans="2:24" x14ac:dyDescent="0.2">
      <c r="B3" s="570"/>
      <c r="C3" s="569"/>
      <c r="D3" s="569"/>
      <c r="E3" s="569"/>
      <c r="F3" s="569"/>
      <c r="G3" s="569"/>
      <c r="H3" s="569"/>
      <c r="I3" s="569"/>
      <c r="J3" s="569"/>
      <c r="K3" s="569"/>
      <c r="L3" s="569"/>
      <c r="M3" s="569"/>
      <c r="N3" s="569"/>
      <c r="O3" s="569"/>
      <c r="P3" s="569"/>
      <c r="Q3" s="569"/>
      <c r="R3" s="569"/>
      <c r="S3" s="569"/>
      <c r="T3" s="569"/>
      <c r="U3" s="569"/>
      <c r="V3" s="569"/>
      <c r="W3" s="569"/>
      <c r="X3" s="568"/>
    </row>
    <row r="4" spans="2:24" x14ac:dyDescent="0.2">
      <c r="B4" s="560"/>
      <c r="I4" s="567" t="s">
        <v>1031</v>
      </c>
      <c r="P4" s="567" t="s">
        <v>1030</v>
      </c>
      <c r="X4" s="559"/>
    </row>
    <row r="5" spans="2:24" x14ac:dyDescent="0.2">
      <c r="B5" s="561" t="s">
        <v>1029</v>
      </c>
      <c r="I5" s="571" t="s">
        <v>1028</v>
      </c>
      <c r="J5" s="569"/>
      <c r="K5" s="569"/>
      <c r="L5" s="569"/>
      <c r="M5" s="569"/>
      <c r="N5" s="568"/>
      <c r="P5" s="570"/>
      <c r="Q5" s="569">
        <v>2020</v>
      </c>
      <c r="R5" s="569">
        <v>2030</v>
      </c>
      <c r="S5" s="569">
        <v>2040</v>
      </c>
      <c r="T5" s="569"/>
      <c r="U5" s="568"/>
      <c r="X5" s="559"/>
    </row>
    <row r="6" spans="2:24" x14ac:dyDescent="0.2">
      <c r="B6" s="570"/>
      <c r="C6" s="569"/>
      <c r="D6" s="569"/>
      <c r="E6" s="568"/>
      <c r="I6" s="560"/>
      <c r="J6" s="567">
        <v>2020</v>
      </c>
      <c r="K6" s="567">
        <v>2030</v>
      </c>
      <c r="L6" s="567">
        <v>2040</v>
      </c>
      <c r="N6" s="559"/>
      <c r="P6" s="561" t="s">
        <v>1027</v>
      </c>
      <c r="Q6" s="562">
        <f>SUMIFS(J7:J9,$I$7:$I$9,$B$12)*$P$1</f>
        <v>11152.439999999999</v>
      </c>
      <c r="R6" s="562">
        <f>SUMIFS(K7:K9,$I$7:$I$9,$B$12)*$P$1</f>
        <v>7446.8749999999991</v>
      </c>
      <c r="S6" s="562">
        <f>SUMIFS(L7:L9,$I$7:$I$9,$B$12)*$P$1</f>
        <v>5361.75</v>
      </c>
      <c r="U6" s="559"/>
      <c r="X6" s="559"/>
    </row>
    <row r="7" spans="2:24" x14ac:dyDescent="0.2">
      <c r="B7" s="560"/>
      <c r="E7" s="559"/>
      <c r="I7" s="561" t="s">
        <v>533</v>
      </c>
      <c r="J7" s="555">
        <v>500</v>
      </c>
      <c r="K7" s="555">
        <v>400</v>
      </c>
      <c r="L7" s="555">
        <v>200</v>
      </c>
      <c r="N7" s="559"/>
      <c r="P7" s="561" t="s">
        <v>791</v>
      </c>
      <c r="Q7" s="566">
        <f>1/SUMIFS(J14:J16,$I$14:$I$16,$B$15)</f>
        <v>1.5037593984962405</v>
      </c>
      <c r="R7" s="566">
        <f>1/SUMIFS(K14:K16,$I$14:$I$16,$B$15)</f>
        <v>1.4705882352941178</v>
      </c>
      <c r="S7" s="566">
        <f>1/SUMIFS(L14:L16,$I$14:$I$16,$B$15)</f>
        <v>1.3333333333333333</v>
      </c>
      <c r="U7" s="559"/>
      <c r="X7" s="559"/>
    </row>
    <row r="8" spans="2:24" x14ac:dyDescent="0.2">
      <c r="B8" s="563" t="s">
        <v>1026</v>
      </c>
      <c r="E8" s="559"/>
      <c r="I8" s="561" t="s">
        <v>534</v>
      </c>
      <c r="J8" s="555">
        <v>1372</v>
      </c>
      <c r="K8" s="555">
        <v>850</v>
      </c>
      <c r="L8" s="555">
        <v>700</v>
      </c>
      <c r="N8" s="559"/>
      <c r="P8" s="561" t="s">
        <v>745</v>
      </c>
      <c r="Q8" s="566">
        <f>ROUNDUP(SUMIFS(J20:J22,$I$20:$I$22,$B$18)/(8760*$W$8),0)</f>
        <v>10</v>
      </c>
      <c r="R8" s="566">
        <f>ROUNDUP(SUMIFS(K20:K22,$I$20:$I$22,$B$18)/(8760*$W$8),0)</f>
        <v>13</v>
      </c>
      <c r="S8" s="566">
        <f>ROUNDUP(SUMIFS(L20:L22,$I$20:$I$22,$B$18)/(8760*$W$8),0)</f>
        <v>16</v>
      </c>
      <c r="U8" s="559"/>
      <c r="W8" s="565">
        <v>0.9</v>
      </c>
      <c r="X8" s="559"/>
    </row>
    <row r="9" spans="2:24" x14ac:dyDescent="0.2">
      <c r="B9" s="564">
        <v>2028</v>
      </c>
      <c r="E9" s="559"/>
      <c r="I9" s="561" t="s">
        <v>1018</v>
      </c>
      <c r="J9" s="555">
        <f>AVERAGE(J7:J8)</f>
        <v>936</v>
      </c>
      <c r="K9" s="555">
        <f>AVERAGE(K7:K8)</f>
        <v>625</v>
      </c>
      <c r="L9" s="555">
        <f>AVERAGE(L7:L8)</f>
        <v>450</v>
      </c>
      <c r="N9" s="559"/>
      <c r="P9" s="561" t="s">
        <v>1025</v>
      </c>
      <c r="Q9" s="555">
        <f>Q6*$W$9</f>
        <v>557.62199999999996</v>
      </c>
      <c r="R9" s="555">
        <f>R6*$W$9</f>
        <v>372.34375</v>
      </c>
      <c r="S9" s="555">
        <f>S6*$W$9</f>
        <v>268.08750000000003</v>
      </c>
      <c r="U9" s="559"/>
      <c r="W9" s="565">
        <v>0.05</v>
      </c>
      <c r="X9" s="559"/>
    </row>
    <row r="10" spans="2:24" x14ac:dyDescent="0.2">
      <c r="B10" s="560"/>
      <c r="E10" s="559"/>
      <c r="I10" s="560"/>
      <c r="N10" s="559"/>
      <c r="P10" s="560"/>
      <c r="U10" s="559"/>
      <c r="X10" s="559"/>
    </row>
    <row r="11" spans="2:24" x14ac:dyDescent="0.2">
      <c r="B11" s="563" t="s">
        <v>1024</v>
      </c>
      <c r="E11" s="559"/>
      <c r="I11" s="560"/>
      <c r="N11" s="559"/>
      <c r="P11" s="560"/>
      <c r="U11" s="559"/>
      <c r="X11" s="559"/>
    </row>
    <row r="12" spans="2:24" x14ac:dyDescent="0.2">
      <c r="B12" s="564" t="s">
        <v>1018</v>
      </c>
      <c r="E12" s="559"/>
      <c r="I12" s="563" t="s">
        <v>1023</v>
      </c>
      <c r="N12" s="559"/>
      <c r="P12" s="560"/>
      <c r="U12" s="559"/>
      <c r="X12" s="559"/>
    </row>
    <row r="13" spans="2:24" x14ac:dyDescent="0.2">
      <c r="B13" s="560"/>
      <c r="E13" s="559"/>
      <c r="I13" s="560"/>
      <c r="N13" s="559"/>
      <c r="P13" s="560"/>
      <c r="U13" s="559"/>
      <c r="X13" s="559"/>
    </row>
    <row r="14" spans="2:24" x14ac:dyDescent="0.2">
      <c r="B14" s="563" t="s">
        <v>1022</v>
      </c>
      <c r="E14" s="559"/>
      <c r="I14" s="561" t="s">
        <v>533</v>
      </c>
      <c r="J14" s="565">
        <v>0.63</v>
      </c>
      <c r="K14" s="565">
        <v>0.65</v>
      </c>
      <c r="L14" s="565">
        <v>0.7</v>
      </c>
      <c r="N14" s="559"/>
      <c r="P14" s="560"/>
      <c r="U14" s="559"/>
      <c r="X14" s="559"/>
    </row>
    <row r="15" spans="2:24" x14ac:dyDescent="0.2">
      <c r="B15" s="564" t="s">
        <v>1018</v>
      </c>
      <c r="E15" s="559"/>
      <c r="I15" s="561" t="s">
        <v>534</v>
      </c>
      <c r="J15" s="565">
        <v>0.7</v>
      </c>
      <c r="K15" s="565">
        <v>0.71</v>
      </c>
      <c r="L15" s="565">
        <v>0.8</v>
      </c>
      <c r="N15" s="559"/>
      <c r="P15" s="560"/>
      <c r="U15" s="559"/>
      <c r="X15" s="559"/>
    </row>
    <row r="16" spans="2:24" x14ac:dyDescent="0.2">
      <c r="B16" s="560"/>
      <c r="E16" s="559"/>
      <c r="I16" s="561" t="s">
        <v>1018</v>
      </c>
      <c r="J16" s="555">
        <f>AVERAGE(J14:J15)</f>
        <v>0.66500000000000004</v>
      </c>
      <c r="K16" s="555">
        <f>AVERAGE(K14:K15)</f>
        <v>0.67999999999999994</v>
      </c>
      <c r="L16" s="555">
        <f>AVERAGE(L14:L15)</f>
        <v>0.75</v>
      </c>
      <c r="N16" s="559"/>
      <c r="P16" s="560"/>
      <c r="U16" s="559"/>
      <c r="X16" s="559"/>
    </row>
    <row r="17" spans="2:24" x14ac:dyDescent="0.2">
      <c r="B17" s="563" t="s">
        <v>1021</v>
      </c>
      <c r="E17" s="559"/>
      <c r="I17" s="560"/>
      <c r="N17" s="559"/>
      <c r="P17" s="560"/>
      <c r="U17" s="559"/>
      <c r="X17" s="559"/>
    </row>
    <row r="18" spans="2:24" x14ac:dyDescent="0.2">
      <c r="B18" s="564" t="s">
        <v>1018</v>
      </c>
      <c r="E18" s="559"/>
      <c r="I18" s="563" t="s">
        <v>1020</v>
      </c>
      <c r="N18" s="559"/>
      <c r="P18" s="560"/>
      <c r="U18" s="559"/>
      <c r="X18" s="559"/>
    </row>
    <row r="19" spans="2:24" x14ac:dyDescent="0.2">
      <c r="B19" s="560"/>
      <c r="E19" s="559"/>
      <c r="I19" s="561" t="s">
        <v>1019</v>
      </c>
      <c r="N19" s="559"/>
      <c r="P19" s="560"/>
      <c r="U19" s="559"/>
      <c r="X19" s="559"/>
    </row>
    <row r="20" spans="2:24" x14ac:dyDescent="0.2">
      <c r="B20" s="558"/>
      <c r="C20" s="557"/>
      <c r="D20" s="557"/>
      <c r="E20" s="556"/>
      <c r="I20" s="561" t="s">
        <v>533</v>
      </c>
      <c r="J20" s="562">
        <v>60000</v>
      </c>
      <c r="K20" s="562">
        <v>90000</v>
      </c>
      <c r="L20" s="562">
        <v>100000</v>
      </c>
      <c r="N20" s="559"/>
      <c r="P20" s="560"/>
      <c r="U20" s="559"/>
      <c r="X20" s="559"/>
    </row>
    <row r="21" spans="2:24" x14ac:dyDescent="0.2">
      <c r="B21" s="560"/>
      <c r="I21" s="561" t="s">
        <v>534</v>
      </c>
      <c r="J21" s="562">
        <v>90000</v>
      </c>
      <c r="K21" s="562">
        <v>100000</v>
      </c>
      <c r="L21" s="562">
        <v>150000</v>
      </c>
      <c r="N21" s="559"/>
      <c r="P21" s="560"/>
      <c r="U21" s="559"/>
      <c r="X21" s="559"/>
    </row>
    <row r="22" spans="2:24" x14ac:dyDescent="0.2">
      <c r="B22" s="560"/>
      <c r="I22" s="561" t="s">
        <v>1018</v>
      </c>
      <c r="J22" s="555">
        <f>AVERAGE(J20:J21)</f>
        <v>75000</v>
      </c>
      <c r="K22" s="555">
        <f>AVERAGE(K20:K21)</f>
        <v>95000</v>
      </c>
      <c r="L22" s="555">
        <f>AVERAGE(L20:L21)</f>
        <v>125000</v>
      </c>
      <c r="N22" s="559"/>
      <c r="P22" s="560"/>
      <c r="U22" s="559"/>
      <c r="X22" s="559"/>
    </row>
    <row r="23" spans="2:24" x14ac:dyDescent="0.2">
      <c r="B23" s="560"/>
      <c r="I23" s="560"/>
      <c r="N23" s="559"/>
      <c r="P23" s="560"/>
      <c r="U23" s="559"/>
      <c r="X23" s="559"/>
    </row>
    <row r="24" spans="2:24" x14ac:dyDescent="0.2">
      <c r="B24" s="560"/>
      <c r="I24" s="558"/>
      <c r="J24" s="557"/>
      <c r="K24" s="557"/>
      <c r="L24" s="557"/>
      <c r="M24" s="557"/>
      <c r="N24" s="556"/>
      <c r="P24" s="558"/>
      <c r="Q24" s="557"/>
      <c r="R24" s="557"/>
      <c r="S24" s="557"/>
      <c r="T24" s="557"/>
      <c r="U24" s="556"/>
      <c r="X24" s="559"/>
    </row>
    <row r="25" spans="2:24" x14ac:dyDescent="0.2">
      <c r="B25" s="560"/>
      <c r="X25" s="559"/>
    </row>
    <row r="26" spans="2:24" x14ac:dyDescent="0.2">
      <c r="B26" s="560"/>
      <c r="X26" s="559"/>
    </row>
    <row r="27" spans="2:24" x14ac:dyDescent="0.2">
      <c r="B27" s="560"/>
      <c r="X27" s="559"/>
    </row>
    <row r="28" spans="2:24" x14ac:dyDescent="0.2">
      <c r="B28" s="560"/>
      <c r="X28" s="559"/>
    </row>
    <row r="29" spans="2:24" x14ac:dyDescent="0.2">
      <c r="B29" s="560"/>
      <c r="X29" s="559"/>
    </row>
    <row r="30" spans="2:24" x14ac:dyDescent="0.2">
      <c r="B30" s="560"/>
      <c r="X30" s="559"/>
    </row>
    <row r="31" spans="2:24" x14ac:dyDescent="0.2">
      <c r="B31" s="560"/>
      <c r="X31" s="559"/>
    </row>
    <row r="32" spans="2:24" x14ac:dyDescent="0.2">
      <c r="B32" s="560"/>
      <c r="X32" s="559"/>
    </row>
    <row r="33" spans="2:24" x14ac:dyDescent="0.2">
      <c r="B33" s="560"/>
      <c r="X33" s="559"/>
    </row>
    <row r="34" spans="2:24" x14ac:dyDescent="0.2">
      <c r="B34" s="560"/>
      <c r="X34" s="559"/>
    </row>
    <row r="35" spans="2:24" x14ac:dyDescent="0.2">
      <c r="B35" s="560"/>
      <c r="X35" s="559"/>
    </row>
    <row r="36" spans="2:24" x14ac:dyDescent="0.2">
      <c r="B36" s="558"/>
      <c r="C36" s="557"/>
      <c r="D36" s="557"/>
      <c r="E36" s="557"/>
      <c r="F36" s="557"/>
      <c r="G36" s="557"/>
      <c r="H36" s="557"/>
      <c r="I36" s="557"/>
      <c r="J36" s="557"/>
      <c r="K36" s="557"/>
      <c r="L36" s="557"/>
      <c r="M36" s="557"/>
      <c r="N36" s="557"/>
      <c r="O36" s="557"/>
      <c r="P36" s="557"/>
      <c r="Q36" s="557"/>
      <c r="R36" s="557"/>
      <c r="S36" s="557"/>
      <c r="T36" s="557"/>
      <c r="U36" s="557"/>
      <c r="V36" s="557"/>
      <c r="W36" s="557"/>
      <c r="X36" s="556"/>
    </row>
  </sheetData>
  <dataValidations disablePrompts="1" count="1">
    <dataValidation type="list" allowBlank="1" showInputMessage="1" showErrorMessage="1" sqref="B12 B18 B15" xr:uid="{E077E262-CAA3-4D3F-9F3B-BCBC970C2F4C}">
      <formula1>$I$7:$I$9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BC1A9-3AC8-4704-B019-BAA06E966C5C}">
  <sheetPr>
    <tabColor theme="1"/>
  </sheetPr>
  <dimension ref="B3:S69"/>
  <sheetViews>
    <sheetView workbookViewId="0">
      <selection activeCell="M23" sqref="M23"/>
    </sheetView>
  </sheetViews>
  <sheetFormatPr defaultRowHeight="15" x14ac:dyDescent="0.25"/>
  <sheetData>
    <row r="3" spans="2:19" x14ac:dyDescent="0.25">
      <c r="B3" s="12" t="s">
        <v>1528</v>
      </c>
      <c r="G3" s="19" t="s">
        <v>1530</v>
      </c>
    </row>
    <row r="4" spans="2:19" x14ac:dyDescent="0.25">
      <c r="B4" s="664" t="b">
        <v>0</v>
      </c>
      <c r="G4" s="12" t="s">
        <v>1521</v>
      </c>
      <c r="H4" t="s">
        <v>1532</v>
      </c>
    </row>
    <row r="5" spans="2:19" x14ac:dyDescent="0.25">
      <c r="B5" s="664" t="s">
        <v>1521</v>
      </c>
      <c r="C5" s="660" t="s">
        <v>1526</v>
      </c>
      <c r="G5" s="12" t="s">
        <v>1529</v>
      </c>
      <c r="H5" t="s">
        <v>1531</v>
      </c>
    </row>
    <row r="9" spans="2:19" x14ac:dyDescent="0.25">
      <c r="B9" s="12"/>
    </row>
    <row r="10" spans="2:19" x14ac:dyDescent="0.25">
      <c r="B10" s="12"/>
    </row>
    <row r="11" spans="2:19" ht="15.75" x14ac:dyDescent="0.25">
      <c r="B11" s="663" t="s">
        <v>1527</v>
      </c>
    </row>
    <row r="12" spans="2:19" x14ac:dyDescent="0.25">
      <c r="B12" s="662"/>
      <c r="C12" s="16"/>
      <c r="D12" s="16"/>
      <c r="E12" s="16"/>
      <c r="F12" s="16"/>
      <c r="G12" s="16"/>
      <c r="H12" s="16"/>
      <c r="I12" s="661"/>
      <c r="J12" s="16"/>
      <c r="K12" s="16"/>
      <c r="L12" s="16"/>
      <c r="M12" s="16"/>
      <c r="N12" s="16"/>
      <c r="O12" s="16"/>
      <c r="P12" s="16"/>
      <c r="Q12" s="16"/>
      <c r="R12" s="16"/>
      <c r="S12" s="3"/>
    </row>
    <row r="13" spans="2:19" x14ac:dyDescent="0.25">
      <c r="B13" s="4"/>
      <c r="S13" s="5"/>
    </row>
    <row r="14" spans="2:19" x14ac:dyDescent="0.25">
      <c r="B14" s="4"/>
      <c r="C14" s="654" t="s">
        <v>1525</v>
      </c>
      <c r="I14" s="654" t="s">
        <v>1524</v>
      </c>
      <c r="J14" s="654"/>
      <c r="S14" s="5"/>
    </row>
    <row r="15" spans="2:19" x14ac:dyDescent="0.25">
      <c r="B15" s="4"/>
      <c r="I15" s="654">
        <v>2017</v>
      </c>
      <c r="J15" s="654">
        <v>2015</v>
      </c>
      <c r="K15" s="654">
        <v>2020</v>
      </c>
      <c r="L15" s="654">
        <v>2025</v>
      </c>
      <c r="M15" s="654">
        <v>2030</v>
      </c>
      <c r="N15" s="654">
        <v>2035</v>
      </c>
      <c r="O15" s="654">
        <v>2040</v>
      </c>
      <c r="P15" s="654">
        <v>2045</v>
      </c>
      <c r="Q15" s="654">
        <v>2050</v>
      </c>
      <c r="S15" s="5"/>
    </row>
    <row r="16" spans="2:19" x14ac:dyDescent="0.25">
      <c r="B16" s="4"/>
      <c r="C16" t="s">
        <v>539</v>
      </c>
      <c r="I16" s="659">
        <f>'IS-TSData'!O43</f>
        <v>16.42657042314022</v>
      </c>
      <c r="J16" s="654"/>
      <c r="K16" s="654"/>
      <c r="L16" s="654"/>
      <c r="M16" s="659" t="str">
        <f>IF($B$4,I16*(1+$M$40),"")</f>
        <v/>
      </c>
      <c r="N16" s="654"/>
      <c r="O16" s="654"/>
      <c r="P16" s="654"/>
      <c r="Q16" s="659"/>
      <c r="S16" s="5"/>
    </row>
    <row r="17" spans="2:19" x14ac:dyDescent="0.25">
      <c r="B17" s="4"/>
      <c r="C17" t="s">
        <v>540</v>
      </c>
      <c r="I17" s="659">
        <f>'IS-TSData'!O48</f>
        <v>27.743824076135091</v>
      </c>
      <c r="J17" s="654"/>
      <c r="K17" s="654"/>
      <c r="L17" s="654"/>
      <c r="M17" s="659" t="str">
        <f t="shared" ref="M17:M25" si="0">IF($B$4,I17*(1+$M$40),"")</f>
        <v/>
      </c>
      <c r="N17" s="654"/>
      <c r="O17" s="654"/>
      <c r="P17" s="654"/>
      <c r="Q17" s="659"/>
      <c r="S17" s="5"/>
    </row>
    <row r="18" spans="2:19" x14ac:dyDescent="0.25">
      <c r="B18" s="4"/>
      <c r="C18" t="s">
        <v>541</v>
      </c>
      <c r="I18" s="659">
        <f>'IS-TSData'!O49</f>
        <v>22.195059260908074</v>
      </c>
      <c r="J18" s="654"/>
      <c r="K18" s="654"/>
      <c r="L18" s="654"/>
      <c r="M18" s="659" t="str">
        <f t="shared" si="0"/>
        <v/>
      </c>
      <c r="N18" s="654"/>
      <c r="O18" s="654"/>
      <c r="P18" s="654"/>
      <c r="Q18" s="659"/>
      <c r="S18" s="5"/>
    </row>
    <row r="19" spans="2:19" x14ac:dyDescent="0.25">
      <c r="B19" s="4"/>
      <c r="C19" t="s">
        <v>542</v>
      </c>
      <c r="I19" s="659">
        <f>'IS-TSData'!O52</f>
        <v>5.4887322803632257</v>
      </c>
      <c r="J19" s="654"/>
      <c r="K19" s="654"/>
      <c r="L19" s="654"/>
      <c r="M19" s="659" t="str">
        <f t="shared" si="0"/>
        <v/>
      </c>
      <c r="N19" s="654"/>
      <c r="O19" s="654"/>
      <c r="P19" s="654"/>
      <c r="Q19" s="659"/>
      <c r="S19" s="5"/>
    </row>
    <row r="20" spans="2:19" x14ac:dyDescent="0.25">
      <c r="B20" s="4"/>
      <c r="I20" s="659"/>
      <c r="J20" s="654"/>
      <c r="K20" s="654"/>
      <c r="L20" s="654"/>
      <c r="M20" s="659"/>
      <c r="N20" s="654"/>
      <c r="O20" s="654"/>
      <c r="P20" s="654"/>
      <c r="Q20" s="659"/>
      <c r="S20" s="5"/>
    </row>
    <row r="21" spans="2:19" x14ac:dyDescent="0.25">
      <c r="B21" s="4"/>
      <c r="C21" t="s">
        <v>170</v>
      </c>
      <c r="I21" s="659">
        <f>'IS-TSData'!O42</f>
        <v>16.42657042314022</v>
      </c>
      <c r="J21" s="654"/>
      <c r="K21" s="654"/>
      <c r="L21" s="654"/>
      <c r="M21" s="659" t="str">
        <f t="shared" si="0"/>
        <v/>
      </c>
      <c r="N21" s="654"/>
      <c r="O21" s="654"/>
      <c r="P21" s="654"/>
      <c r="Q21" s="659"/>
      <c r="S21" s="5"/>
    </row>
    <row r="22" spans="2:19" x14ac:dyDescent="0.25">
      <c r="B22" s="4"/>
      <c r="C22" t="s">
        <v>172</v>
      </c>
      <c r="I22" s="659">
        <f>'IS-TSData'!O44</f>
        <v>22.151676172353415</v>
      </c>
      <c r="J22" s="654"/>
      <c r="K22" s="654"/>
      <c r="L22" s="654"/>
      <c r="M22" s="659" t="str">
        <f t="shared" si="0"/>
        <v/>
      </c>
      <c r="N22" s="654"/>
      <c r="O22" s="654"/>
      <c r="P22" s="654"/>
      <c r="Q22" s="659"/>
      <c r="S22" s="5"/>
    </row>
    <row r="23" spans="2:19" x14ac:dyDescent="0.25">
      <c r="B23" s="4"/>
      <c r="C23" t="s">
        <v>175</v>
      </c>
      <c r="I23" s="659">
        <f>'IS-TSData'!O47</f>
        <v>27.743824076135091</v>
      </c>
      <c r="J23" s="654"/>
      <c r="K23" s="654"/>
      <c r="L23" s="654"/>
      <c r="M23" s="659" t="str">
        <f t="shared" si="0"/>
        <v/>
      </c>
      <c r="N23" s="654"/>
      <c r="O23" s="654"/>
      <c r="P23" s="654"/>
      <c r="Q23" s="659"/>
      <c r="S23" s="5"/>
    </row>
    <row r="24" spans="2:19" x14ac:dyDescent="0.25">
      <c r="B24" s="4"/>
      <c r="C24" t="s">
        <v>179</v>
      </c>
      <c r="I24" s="659">
        <f>'IS-TSData'!O50</f>
        <v>44.655000000000001</v>
      </c>
      <c r="J24" s="654"/>
      <c r="K24" s="654"/>
      <c r="L24" s="654"/>
      <c r="M24" s="659" t="str">
        <f t="shared" si="0"/>
        <v/>
      </c>
      <c r="N24" s="654"/>
      <c r="O24" s="654"/>
      <c r="P24" s="654"/>
      <c r="Q24" s="659"/>
      <c r="S24" s="5"/>
    </row>
    <row r="25" spans="2:19" x14ac:dyDescent="0.25">
      <c r="B25" s="4"/>
      <c r="C25" t="s">
        <v>181</v>
      </c>
      <c r="I25" s="659">
        <f>'IS-TSData'!O51</f>
        <v>5.4887322803632257</v>
      </c>
      <c r="J25" s="654"/>
      <c r="K25" s="654"/>
      <c r="L25" s="654"/>
      <c r="M25" s="659" t="str">
        <f t="shared" si="0"/>
        <v/>
      </c>
      <c r="N25" s="654"/>
      <c r="O25" s="654"/>
      <c r="P25" s="654"/>
      <c r="Q25" s="659"/>
      <c r="S25" s="5"/>
    </row>
    <row r="26" spans="2:19" x14ac:dyDescent="0.25">
      <c r="B26" s="4"/>
      <c r="C26" s="655"/>
      <c r="D26" s="658" t="s">
        <v>1523</v>
      </c>
      <c r="E26" s="8"/>
      <c r="F26" s="8"/>
      <c r="G26" s="8"/>
      <c r="H26" s="8"/>
      <c r="I26" s="658"/>
      <c r="J26" s="658"/>
      <c r="K26" s="654"/>
      <c r="L26" s="654"/>
      <c r="M26" s="654"/>
      <c r="N26" s="654"/>
      <c r="O26" s="654"/>
      <c r="P26" s="654"/>
      <c r="Q26" s="654"/>
      <c r="S26" s="5"/>
    </row>
    <row r="27" spans="2:19" x14ac:dyDescent="0.25">
      <c r="B27" s="4"/>
      <c r="C27" s="655"/>
      <c r="F27" s="658" t="s">
        <v>1522</v>
      </c>
      <c r="G27" s="8"/>
      <c r="H27" s="8"/>
      <c r="I27" s="658"/>
      <c r="J27" s="654"/>
      <c r="K27" s="654"/>
      <c r="L27" s="654"/>
      <c r="M27" s="654"/>
      <c r="N27" s="654"/>
      <c r="O27" s="654"/>
      <c r="P27" s="654"/>
      <c r="Q27" s="654"/>
      <c r="S27" s="5"/>
    </row>
    <row r="28" spans="2:19" x14ac:dyDescent="0.25">
      <c r="B28" s="4"/>
      <c r="C28" s="655"/>
      <c r="J28" s="654"/>
      <c r="K28" s="654"/>
      <c r="L28" s="654"/>
      <c r="M28" s="654"/>
      <c r="N28" s="654"/>
      <c r="O28" s="654"/>
      <c r="P28" s="654"/>
      <c r="Q28" s="654"/>
      <c r="S28" s="5"/>
    </row>
    <row r="29" spans="2:19" x14ac:dyDescent="0.25">
      <c r="B29" s="4"/>
      <c r="G29" t="s">
        <v>1427</v>
      </c>
      <c r="I29">
        <v>-0.08</v>
      </c>
      <c r="J29">
        <f t="shared" ref="J29:Q38" si="1">I29</f>
        <v>-0.08</v>
      </c>
      <c r="K29">
        <f t="shared" si="1"/>
        <v>-0.08</v>
      </c>
      <c r="L29">
        <f t="shared" si="1"/>
        <v>-0.08</v>
      </c>
      <c r="M29">
        <f t="shared" si="1"/>
        <v>-0.08</v>
      </c>
      <c r="N29">
        <f t="shared" si="1"/>
        <v>-0.08</v>
      </c>
      <c r="O29">
        <f t="shared" si="1"/>
        <v>-0.08</v>
      </c>
      <c r="P29">
        <f t="shared" si="1"/>
        <v>-0.08</v>
      </c>
      <c r="Q29">
        <f t="shared" si="1"/>
        <v>-0.08</v>
      </c>
      <c r="S29" s="5"/>
    </row>
    <row r="30" spans="2:19" x14ac:dyDescent="0.25">
      <c r="B30" s="4"/>
      <c r="C30" s="655"/>
      <c r="G30" t="s">
        <v>1425</v>
      </c>
      <c r="I30">
        <v>-2.7E-2</v>
      </c>
      <c r="J30">
        <f t="shared" si="1"/>
        <v>-2.7E-2</v>
      </c>
      <c r="K30">
        <f t="shared" si="1"/>
        <v>-2.7E-2</v>
      </c>
      <c r="L30">
        <f t="shared" si="1"/>
        <v>-2.7E-2</v>
      </c>
      <c r="M30">
        <f t="shared" si="1"/>
        <v>-2.7E-2</v>
      </c>
      <c r="N30">
        <f t="shared" si="1"/>
        <v>-2.7E-2</v>
      </c>
      <c r="O30">
        <f t="shared" si="1"/>
        <v>-2.7E-2</v>
      </c>
      <c r="P30">
        <f t="shared" si="1"/>
        <v>-2.7E-2</v>
      </c>
      <c r="Q30">
        <f t="shared" si="1"/>
        <v>-2.7E-2</v>
      </c>
      <c r="S30" s="5"/>
    </row>
    <row r="31" spans="2:19" x14ac:dyDescent="0.25">
      <c r="B31" s="4"/>
      <c r="G31" t="s">
        <v>1421</v>
      </c>
      <c r="I31">
        <v>-6.8000000000000005E-2</v>
      </c>
      <c r="J31">
        <f t="shared" si="1"/>
        <v>-6.8000000000000005E-2</v>
      </c>
      <c r="K31">
        <f t="shared" si="1"/>
        <v>-6.8000000000000005E-2</v>
      </c>
      <c r="L31">
        <f t="shared" si="1"/>
        <v>-6.8000000000000005E-2</v>
      </c>
      <c r="M31">
        <f t="shared" si="1"/>
        <v>-6.8000000000000005E-2</v>
      </c>
      <c r="N31">
        <f t="shared" si="1"/>
        <v>-6.8000000000000005E-2</v>
      </c>
      <c r="O31">
        <f t="shared" si="1"/>
        <v>-6.8000000000000005E-2</v>
      </c>
      <c r="P31">
        <f t="shared" si="1"/>
        <v>-6.8000000000000005E-2</v>
      </c>
      <c r="Q31">
        <f t="shared" si="1"/>
        <v>-6.8000000000000005E-2</v>
      </c>
      <c r="S31" s="5"/>
    </row>
    <row r="32" spans="2:19" x14ac:dyDescent="0.25">
      <c r="B32" s="4"/>
      <c r="G32" t="s">
        <v>1419</v>
      </c>
      <c r="I32">
        <v>-3.4000000000000002E-2</v>
      </c>
      <c r="J32">
        <f t="shared" si="1"/>
        <v>-3.4000000000000002E-2</v>
      </c>
      <c r="K32">
        <f t="shared" si="1"/>
        <v>-3.4000000000000002E-2</v>
      </c>
      <c r="L32">
        <f t="shared" si="1"/>
        <v>-3.4000000000000002E-2</v>
      </c>
      <c r="M32">
        <f t="shared" si="1"/>
        <v>-3.4000000000000002E-2</v>
      </c>
      <c r="N32">
        <f t="shared" si="1"/>
        <v>-3.4000000000000002E-2</v>
      </c>
      <c r="O32">
        <f t="shared" si="1"/>
        <v>-3.4000000000000002E-2</v>
      </c>
      <c r="P32">
        <f t="shared" si="1"/>
        <v>-3.4000000000000002E-2</v>
      </c>
      <c r="Q32">
        <f t="shared" si="1"/>
        <v>-3.4000000000000002E-2</v>
      </c>
      <c r="S32" s="5"/>
    </row>
    <row r="33" spans="2:19" x14ac:dyDescent="0.25">
      <c r="B33" s="4"/>
      <c r="G33" t="s">
        <v>1415</v>
      </c>
      <c r="I33">
        <v>-4.9000000000000002E-2</v>
      </c>
      <c r="J33">
        <f t="shared" si="1"/>
        <v>-4.9000000000000002E-2</v>
      </c>
      <c r="K33">
        <f t="shared" si="1"/>
        <v>-4.9000000000000002E-2</v>
      </c>
      <c r="L33">
        <f t="shared" si="1"/>
        <v>-4.9000000000000002E-2</v>
      </c>
      <c r="M33">
        <f t="shared" si="1"/>
        <v>-4.9000000000000002E-2</v>
      </c>
      <c r="N33">
        <f t="shared" si="1"/>
        <v>-4.9000000000000002E-2</v>
      </c>
      <c r="O33">
        <f t="shared" si="1"/>
        <v>-4.9000000000000002E-2</v>
      </c>
      <c r="P33">
        <f t="shared" si="1"/>
        <v>-4.9000000000000002E-2</v>
      </c>
      <c r="Q33">
        <f t="shared" si="1"/>
        <v>-4.9000000000000002E-2</v>
      </c>
      <c r="S33" s="5"/>
    </row>
    <row r="34" spans="2:19" x14ac:dyDescent="0.25">
      <c r="B34" s="4"/>
      <c r="G34" t="s">
        <v>1413</v>
      </c>
      <c r="I34">
        <v>-2.5000000000000001E-2</v>
      </c>
      <c r="J34">
        <f t="shared" si="1"/>
        <v>-2.5000000000000001E-2</v>
      </c>
      <c r="K34">
        <f t="shared" si="1"/>
        <v>-2.5000000000000001E-2</v>
      </c>
      <c r="L34">
        <f t="shared" si="1"/>
        <v>-2.5000000000000001E-2</v>
      </c>
      <c r="M34">
        <f t="shared" si="1"/>
        <v>-2.5000000000000001E-2</v>
      </c>
      <c r="N34">
        <f t="shared" si="1"/>
        <v>-2.5000000000000001E-2</v>
      </c>
      <c r="O34">
        <f t="shared" si="1"/>
        <v>-2.5000000000000001E-2</v>
      </c>
      <c r="P34">
        <f t="shared" si="1"/>
        <v>-2.5000000000000001E-2</v>
      </c>
      <c r="Q34">
        <f t="shared" si="1"/>
        <v>-2.5000000000000001E-2</v>
      </c>
      <c r="S34" s="5"/>
    </row>
    <row r="35" spans="2:19" x14ac:dyDescent="0.25">
      <c r="B35" s="4"/>
      <c r="G35" t="s">
        <v>1409</v>
      </c>
      <c r="I35">
        <v>-4.1000000000000002E-2</v>
      </c>
      <c r="J35">
        <f t="shared" si="1"/>
        <v>-4.1000000000000002E-2</v>
      </c>
      <c r="K35">
        <f t="shared" si="1"/>
        <v>-4.1000000000000002E-2</v>
      </c>
      <c r="L35">
        <f t="shared" si="1"/>
        <v>-4.1000000000000002E-2</v>
      </c>
      <c r="M35">
        <f t="shared" si="1"/>
        <v>-4.1000000000000002E-2</v>
      </c>
      <c r="N35">
        <f t="shared" si="1"/>
        <v>-4.1000000000000002E-2</v>
      </c>
      <c r="O35">
        <f t="shared" si="1"/>
        <v>-4.1000000000000002E-2</v>
      </c>
      <c r="P35">
        <f t="shared" si="1"/>
        <v>-4.1000000000000002E-2</v>
      </c>
      <c r="Q35">
        <f t="shared" si="1"/>
        <v>-4.1000000000000002E-2</v>
      </c>
      <c r="S35" s="5"/>
    </row>
    <row r="36" spans="2:19" x14ac:dyDescent="0.25">
      <c r="B36" s="4"/>
      <c r="G36" t="s">
        <v>1407</v>
      </c>
      <c r="I36">
        <v>-6.0999999999999999E-2</v>
      </c>
      <c r="J36">
        <f t="shared" si="1"/>
        <v>-6.0999999999999999E-2</v>
      </c>
      <c r="K36">
        <f t="shared" si="1"/>
        <v>-6.0999999999999999E-2</v>
      </c>
      <c r="L36">
        <f t="shared" si="1"/>
        <v>-6.0999999999999999E-2</v>
      </c>
      <c r="M36">
        <f t="shared" si="1"/>
        <v>-6.0999999999999999E-2</v>
      </c>
      <c r="N36">
        <f t="shared" si="1"/>
        <v>-6.0999999999999999E-2</v>
      </c>
      <c r="O36">
        <f t="shared" si="1"/>
        <v>-6.0999999999999999E-2</v>
      </c>
      <c r="P36">
        <f t="shared" si="1"/>
        <v>-6.0999999999999999E-2</v>
      </c>
      <c r="Q36">
        <f t="shared" si="1"/>
        <v>-6.0999999999999999E-2</v>
      </c>
      <c r="S36" s="5"/>
    </row>
    <row r="37" spans="2:19" x14ac:dyDescent="0.25">
      <c r="B37" s="4"/>
      <c r="G37" t="s">
        <v>1399</v>
      </c>
      <c r="I37">
        <v>-0.12</v>
      </c>
      <c r="J37">
        <f t="shared" si="1"/>
        <v>-0.12</v>
      </c>
      <c r="K37">
        <f t="shared" si="1"/>
        <v>-0.12</v>
      </c>
      <c r="L37">
        <f t="shared" si="1"/>
        <v>-0.12</v>
      </c>
      <c r="M37">
        <f t="shared" si="1"/>
        <v>-0.12</v>
      </c>
      <c r="N37">
        <f t="shared" si="1"/>
        <v>-0.12</v>
      </c>
      <c r="O37">
        <f t="shared" si="1"/>
        <v>-0.12</v>
      </c>
      <c r="P37">
        <f t="shared" si="1"/>
        <v>-0.12</v>
      </c>
      <c r="Q37">
        <f t="shared" si="1"/>
        <v>-0.12</v>
      </c>
      <c r="S37" s="5"/>
    </row>
    <row r="38" spans="2:19" x14ac:dyDescent="0.25">
      <c r="B38" s="4"/>
      <c r="G38" t="s">
        <v>1396</v>
      </c>
      <c r="I38">
        <v>-0.13500000000000001</v>
      </c>
      <c r="J38">
        <f t="shared" si="1"/>
        <v>-0.13500000000000001</v>
      </c>
      <c r="K38">
        <f t="shared" si="1"/>
        <v>-0.13500000000000001</v>
      </c>
      <c r="L38">
        <f t="shared" si="1"/>
        <v>-0.13500000000000001</v>
      </c>
      <c r="M38">
        <f t="shared" si="1"/>
        <v>-0.13500000000000001</v>
      </c>
      <c r="N38">
        <f t="shared" si="1"/>
        <v>-0.13500000000000001</v>
      </c>
      <c r="O38">
        <f t="shared" si="1"/>
        <v>-0.13500000000000001</v>
      </c>
      <c r="P38">
        <f t="shared" si="1"/>
        <v>-0.13500000000000001</v>
      </c>
      <c r="Q38">
        <f t="shared" si="1"/>
        <v>-0.13500000000000001</v>
      </c>
      <c r="S38" s="5"/>
    </row>
    <row r="39" spans="2:19" x14ac:dyDescent="0.25">
      <c r="B39" s="4"/>
      <c r="F39" s="657" t="s">
        <v>1521</v>
      </c>
      <c r="G39" s="8"/>
      <c r="H39" s="8"/>
      <c r="I39" s="8"/>
      <c r="S39" s="5"/>
    </row>
    <row r="40" spans="2:19" x14ac:dyDescent="0.25">
      <c r="B40" s="4"/>
      <c r="G40" t="s">
        <v>1427</v>
      </c>
      <c r="I40">
        <v>0</v>
      </c>
      <c r="J40">
        <v>0</v>
      </c>
      <c r="K40">
        <v>0</v>
      </c>
      <c r="L40">
        <f t="shared" ref="L40:L49" si="2">M40/2</f>
        <v>-2.5000000000000001E-2</v>
      </c>
      <c r="M40" s="656">
        <f>IF(PAMSlevel = "High",-0.05,-0.025)</f>
        <v>-0.05</v>
      </c>
      <c r="N40">
        <f t="shared" ref="N40:Q49" si="3">M40</f>
        <v>-0.05</v>
      </c>
      <c r="O40">
        <f t="shared" si="3"/>
        <v>-0.05</v>
      </c>
      <c r="P40">
        <f t="shared" si="3"/>
        <v>-0.05</v>
      </c>
      <c r="Q40">
        <f t="shared" si="3"/>
        <v>-0.05</v>
      </c>
      <c r="S40" s="5"/>
    </row>
    <row r="41" spans="2:19" x14ac:dyDescent="0.25">
      <c r="B41" s="4"/>
      <c r="G41" t="s">
        <v>1425</v>
      </c>
      <c r="I41">
        <v>0</v>
      </c>
      <c r="J41">
        <v>0</v>
      </c>
      <c r="K41">
        <v>0</v>
      </c>
      <c r="L41">
        <f t="shared" si="2"/>
        <v>0</v>
      </c>
      <c r="M41" s="656">
        <v>0</v>
      </c>
      <c r="N41">
        <f t="shared" si="3"/>
        <v>0</v>
      </c>
      <c r="O41">
        <f t="shared" si="3"/>
        <v>0</v>
      </c>
      <c r="P41">
        <f t="shared" si="3"/>
        <v>0</v>
      </c>
      <c r="Q41">
        <f t="shared" si="3"/>
        <v>0</v>
      </c>
      <c r="S41" s="5"/>
    </row>
    <row r="42" spans="2:19" x14ac:dyDescent="0.25">
      <c r="B42" s="4"/>
      <c r="G42" t="s">
        <v>1421</v>
      </c>
      <c r="I42">
        <v>0</v>
      </c>
      <c r="J42">
        <v>0</v>
      </c>
      <c r="K42">
        <v>0</v>
      </c>
      <c r="L42">
        <f t="shared" si="2"/>
        <v>-2.5000000000000001E-2</v>
      </c>
      <c r="M42" s="656">
        <f>IF(PAMSlevel = "High",-0.05,-0.025)</f>
        <v>-0.05</v>
      </c>
      <c r="N42">
        <f t="shared" si="3"/>
        <v>-0.05</v>
      </c>
      <c r="O42">
        <f t="shared" si="3"/>
        <v>-0.05</v>
      </c>
      <c r="P42">
        <f t="shared" si="3"/>
        <v>-0.05</v>
      </c>
      <c r="Q42">
        <f t="shared" si="3"/>
        <v>-0.05</v>
      </c>
      <c r="S42" s="5"/>
    </row>
    <row r="43" spans="2:19" x14ac:dyDescent="0.25">
      <c r="B43" s="4"/>
      <c r="G43" t="s">
        <v>1419</v>
      </c>
      <c r="I43">
        <v>0</v>
      </c>
      <c r="J43">
        <v>0</v>
      </c>
      <c r="K43">
        <v>0</v>
      </c>
      <c r="L43">
        <f t="shared" si="2"/>
        <v>0</v>
      </c>
      <c r="M43" s="656">
        <v>0</v>
      </c>
      <c r="N43">
        <f t="shared" si="3"/>
        <v>0</v>
      </c>
      <c r="O43">
        <f t="shared" si="3"/>
        <v>0</v>
      </c>
      <c r="P43">
        <f t="shared" si="3"/>
        <v>0</v>
      </c>
      <c r="Q43">
        <f t="shared" si="3"/>
        <v>0</v>
      </c>
      <c r="S43" s="5"/>
    </row>
    <row r="44" spans="2:19" x14ac:dyDescent="0.25">
      <c r="B44" s="4"/>
      <c r="G44" t="s">
        <v>1415</v>
      </c>
      <c r="I44">
        <v>0</v>
      </c>
      <c r="J44">
        <v>0</v>
      </c>
      <c r="K44">
        <v>0</v>
      </c>
      <c r="L44">
        <f t="shared" si="2"/>
        <v>-2.5000000000000001E-2</v>
      </c>
      <c r="M44" s="656">
        <f>IF(PAMSlevel = "High",-0.05,-0.025)</f>
        <v>-0.05</v>
      </c>
      <c r="N44">
        <f t="shared" si="3"/>
        <v>-0.05</v>
      </c>
      <c r="O44">
        <f t="shared" si="3"/>
        <v>-0.05</v>
      </c>
      <c r="P44">
        <f t="shared" si="3"/>
        <v>-0.05</v>
      </c>
      <c r="Q44">
        <f t="shared" si="3"/>
        <v>-0.05</v>
      </c>
      <c r="S44" s="5"/>
    </row>
    <row r="45" spans="2:19" x14ac:dyDescent="0.25">
      <c r="B45" s="4"/>
      <c r="G45" t="s">
        <v>1413</v>
      </c>
      <c r="I45">
        <v>0</v>
      </c>
      <c r="J45">
        <v>0</v>
      </c>
      <c r="K45">
        <v>0</v>
      </c>
      <c r="L45">
        <f t="shared" si="2"/>
        <v>0</v>
      </c>
      <c r="M45" s="656">
        <v>0</v>
      </c>
      <c r="N45">
        <f t="shared" si="3"/>
        <v>0</v>
      </c>
      <c r="O45">
        <f t="shared" si="3"/>
        <v>0</v>
      </c>
      <c r="P45">
        <f t="shared" si="3"/>
        <v>0</v>
      </c>
      <c r="Q45">
        <f t="shared" si="3"/>
        <v>0</v>
      </c>
      <c r="S45" s="5"/>
    </row>
    <row r="46" spans="2:19" x14ac:dyDescent="0.25">
      <c r="B46" s="4"/>
      <c r="G46" t="s">
        <v>1409</v>
      </c>
      <c r="I46">
        <v>0</v>
      </c>
      <c r="J46">
        <v>0</v>
      </c>
      <c r="K46">
        <v>0</v>
      </c>
      <c r="L46">
        <f t="shared" si="2"/>
        <v>-2.5000000000000001E-2</v>
      </c>
      <c r="M46" s="656">
        <f>IF(PAMSlevel = "High",-0.05,-0.025)</f>
        <v>-0.05</v>
      </c>
      <c r="N46">
        <f t="shared" si="3"/>
        <v>-0.05</v>
      </c>
      <c r="O46">
        <f t="shared" si="3"/>
        <v>-0.05</v>
      </c>
      <c r="P46">
        <f t="shared" si="3"/>
        <v>-0.05</v>
      </c>
      <c r="Q46">
        <f t="shared" si="3"/>
        <v>-0.05</v>
      </c>
      <c r="S46" s="5"/>
    </row>
    <row r="47" spans="2:19" x14ac:dyDescent="0.25">
      <c r="B47" s="4"/>
      <c r="G47" t="s">
        <v>1407</v>
      </c>
      <c r="I47">
        <v>0</v>
      </c>
      <c r="J47">
        <v>0</v>
      </c>
      <c r="K47">
        <v>0</v>
      </c>
      <c r="L47">
        <f t="shared" si="2"/>
        <v>0</v>
      </c>
      <c r="M47" s="656">
        <v>0</v>
      </c>
      <c r="N47">
        <f t="shared" si="3"/>
        <v>0</v>
      </c>
      <c r="O47">
        <f t="shared" si="3"/>
        <v>0</v>
      </c>
      <c r="P47">
        <f t="shared" si="3"/>
        <v>0</v>
      </c>
      <c r="Q47">
        <f t="shared" si="3"/>
        <v>0</v>
      </c>
      <c r="S47" s="5"/>
    </row>
    <row r="48" spans="2:19" x14ac:dyDescent="0.25">
      <c r="B48" s="4"/>
      <c r="G48" t="s">
        <v>1399</v>
      </c>
      <c r="I48">
        <v>0</v>
      </c>
      <c r="J48">
        <v>0</v>
      </c>
      <c r="K48">
        <v>0</v>
      </c>
      <c r="L48">
        <f t="shared" si="2"/>
        <v>-2.5000000000000001E-2</v>
      </c>
      <c r="M48" s="656">
        <f>IF(PAMSlevel = "High",-0.05,-0.025)</f>
        <v>-0.05</v>
      </c>
      <c r="N48">
        <f t="shared" si="3"/>
        <v>-0.05</v>
      </c>
      <c r="O48">
        <f t="shared" si="3"/>
        <v>-0.05</v>
      </c>
      <c r="P48">
        <f t="shared" si="3"/>
        <v>-0.05</v>
      </c>
      <c r="Q48">
        <f t="shared" si="3"/>
        <v>-0.05</v>
      </c>
      <c r="S48" s="5"/>
    </row>
    <row r="49" spans="2:19" x14ac:dyDescent="0.25">
      <c r="B49" s="4"/>
      <c r="G49" t="s">
        <v>1396</v>
      </c>
      <c r="I49">
        <v>0</v>
      </c>
      <c r="J49">
        <v>0</v>
      </c>
      <c r="K49">
        <v>0</v>
      </c>
      <c r="L49">
        <f t="shared" si="2"/>
        <v>0</v>
      </c>
      <c r="M49" s="656">
        <v>0</v>
      </c>
      <c r="N49">
        <f t="shared" si="3"/>
        <v>0</v>
      </c>
      <c r="O49">
        <f t="shared" si="3"/>
        <v>0</v>
      </c>
      <c r="P49">
        <f t="shared" si="3"/>
        <v>0</v>
      </c>
      <c r="Q49">
        <f t="shared" si="3"/>
        <v>0</v>
      </c>
      <c r="S49" s="5"/>
    </row>
    <row r="50" spans="2:19" x14ac:dyDescent="0.25">
      <c r="B50" s="4" t="b">
        <v>0</v>
      </c>
      <c r="C50" t="s">
        <v>1561</v>
      </c>
      <c r="S50" s="5"/>
    </row>
    <row r="51" spans="2:19" x14ac:dyDescent="0.25">
      <c r="B51" s="653" t="s">
        <v>1520</v>
      </c>
      <c r="S51" s="5"/>
    </row>
    <row r="52" spans="2:19" x14ac:dyDescent="0.25">
      <c r="B52" s="4"/>
      <c r="I52" s="655">
        <v>2012</v>
      </c>
      <c r="J52">
        <v>2015</v>
      </c>
      <c r="K52">
        <v>2020</v>
      </c>
      <c r="L52">
        <v>2025</v>
      </c>
      <c r="M52">
        <v>2030</v>
      </c>
      <c r="N52">
        <v>2035</v>
      </c>
      <c r="O52">
        <v>2040</v>
      </c>
      <c r="P52">
        <v>2045</v>
      </c>
      <c r="Q52">
        <v>2050</v>
      </c>
      <c r="S52" s="5"/>
    </row>
    <row r="53" spans="2:19" x14ac:dyDescent="0.25">
      <c r="B53" s="4" t="s">
        <v>1427</v>
      </c>
      <c r="D53" t="s">
        <v>1436</v>
      </c>
      <c r="F53" t="s">
        <v>1101</v>
      </c>
      <c r="G53" t="s">
        <v>707</v>
      </c>
      <c r="H53">
        <v>0</v>
      </c>
      <c r="I53">
        <f t="shared" ref="I53:K53" si="4">IF($B$4,IF($B$5="PAMS",I40,I29),0)</f>
        <v>0</v>
      </c>
      <c r="J53">
        <f t="shared" si="4"/>
        <v>0</v>
      </c>
      <c r="K53">
        <f t="shared" si="4"/>
        <v>0</v>
      </c>
      <c r="L53">
        <f t="shared" ref="L53:Q53" si="5">IF($B$50,IF($B$5="PAMS",L40,L29),0)</f>
        <v>0</v>
      </c>
      <c r="M53">
        <f t="shared" si="5"/>
        <v>0</v>
      </c>
      <c r="N53">
        <f t="shared" si="5"/>
        <v>0</v>
      </c>
      <c r="O53">
        <f t="shared" si="5"/>
        <v>0</v>
      </c>
      <c r="P53">
        <f t="shared" si="5"/>
        <v>0</v>
      </c>
      <c r="Q53">
        <f t="shared" si="5"/>
        <v>0</v>
      </c>
      <c r="S53" s="5"/>
    </row>
    <row r="54" spans="2:19" x14ac:dyDescent="0.25">
      <c r="B54" s="4" t="s">
        <v>1425</v>
      </c>
      <c r="D54" t="s">
        <v>1436</v>
      </c>
      <c r="F54" t="s">
        <v>1101</v>
      </c>
      <c r="G54" t="s">
        <v>707</v>
      </c>
      <c r="H54">
        <v>0</v>
      </c>
      <c r="I54">
        <f t="shared" ref="I54:K54" si="6">IF($B$4,IF($B$5="PAMS",I41,I30),0)</f>
        <v>0</v>
      </c>
      <c r="J54">
        <f t="shared" si="6"/>
        <v>0</v>
      </c>
      <c r="K54">
        <f t="shared" si="6"/>
        <v>0</v>
      </c>
      <c r="L54">
        <f t="shared" ref="L54:M62" si="7">IF($B$50,IF($B$5="PAMS",L41,L30),0)</f>
        <v>0</v>
      </c>
      <c r="M54">
        <f t="shared" si="7"/>
        <v>0</v>
      </c>
      <c r="N54">
        <f t="shared" ref="N54:Q54" si="8">IF($B$50,IF($B$5="PAMS",N41,N30),0)</f>
        <v>0</v>
      </c>
      <c r="O54">
        <f t="shared" si="8"/>
        <v>0</v>
      </c>
      <c r="P54">
        <f t="shared" si="8"/>
        <v>0</v>
      </c>
      <c r="Q54">
        <f t="shared" si="8"/>
        <v>0</v>
      </c>
      <c r="S54" s="5"/>
    </row>
    <row r="55" spans="2:19" x14ac:dyDescent="0.25">
      <c r="B55" s="4" t="s">
        <v>1421</v>
      </c>
      <c r="D55" t="s">
        <v>1435</v>
      </c>
      <c r="F55" t="s">
        <v>1101</v>
      </c>
      <c r="G55" t="s">
        <v>707</v>
      </c>
      <c r="H55">
        <v>0</v>
      </c>
      <c r="I55">
        <f t="shared" ref="I55:K55" si="9">IF($B$4,IF($B$5="PAMS",I42,I31),0)</f>
        <v>0</v>
      </c>
      <c r="J55">
        <f t="shared" si="9"/>
        <v>0</v>
      </c>
      <c r="K55">
        <f t="shared" si="9"/>
        <v>0</v>
      </c>
      <c r="L55">
        <f t="shared" si="7"/>
        <v>0</v>
      </c>
      <c r="M55">
        <f t="shared" si="7"/>
        <v>0</v>
      </c>
      <c r="N55">
        <f t="shared" ref="N55:Q55" si="10">IF($B$50,IF($B$5="PAMS",N42,N31),0)</f>
        <v>0</v>
      </c>
      <c r="O55">
        <f t="shared" si="10"/>
        <v>0</v>
      </c>
      <c r="P55">
        <f t="shared" si="10"/>
        <v>0</v>
      </c>
      <c r="Q55">
        <f t="shared" si="10"/>
        <v>0</v>
      </c>
      <c r="S55" s="5"/>
    </row>
    <row r="56" spans="2:19" x14ac:dyDescent="0.25">
      <c r="B56" s="4" t="s">
        <v>1419</v>
      </c>
      <c r="D56" t="s">
        <v>1435</v>
      </c>
      <c r="F56" t="s">
        <v>1101</v>
      </c>
      <c r="G56" t="s">
        <v>707</v>
      </c>
      <c r="H56">
        <v>0</v>
      </c>
      <c r="I56">
        <f t="shared" ref="I56:K56" si="11">IF($B$4,IF($B$5="PAMS",I43,I32),0)</f>
        <v>0</v>
      </c>
      <c r="J56">
        <f t="shared" si="11"/>
        <v>0</v>
      </c>
      <c r="K56">
        <f t="shared" si="11"/>
        <v>0</v>
      </c>
      <c r="L56">
        <f t="shared" si="7"/>
        <v>0</v>
      </c>
      <c r="M56">
        <f t="shared" si="7"/>
        <v>0</v>
      </c>
      <c r="N56">
        <f t="shared" ref="N56:Q56" si="12">IF($B$50,IF($B$5="PAMS",N43,N32),0)</f>
        <v>0</v>
      </c>
      <c r="O56">
        <f t="shared" si="12"/>
        <v>0</v>
      </c>
      <c r="P56">
        <f t="shared" si="12"/>
        <v>0</v>
      </c>
      <c r="Q56">
        <f t="shared" si="12"/>
        <v>0</v>
      </c>
      <c r="S56" s="5"/>
    </row>
    <row r="57" spans="2:19" x14ac:dyDescent="0.25">
      <c r="B57" s="4" t="s">
        <v>1415</v>
      </c>
      <c r="D57" t="s">
        <v>1434</v>
      </c>
      <c r="F57" t="s">
        <v>1101</v>
      </c>
      <c r="G57" t="s">
        <v>707</v>
      </c>
      <c r="H57">
        <v>0</v>
      </c>
      <c r="I57">
        <f t="shared" ref="I57:K57" si="13">IF($B$4,IF($B$5="PAMS",I44,I33),0)</f>
        <v>0</v>
      </c>
      <c r="J57">
        <f t="shared" si="13"/>
        <v>0</v>
      </c>
      <c r="K57">
        <f t="shared" si="13"/>
        <v>0</v>
      </c>
      <c r="L57">
        <f t="shared" si="7"/>
        <v>0</v>
      </c>
      <c r="M57">
        <f t="shared" si="7"/>
        <v>0</v>
      </c>
      <c r="N57">
        <f t="shared" ref="N57:Q57" si="14">IF($B$50,IF($B$5="PAMS",N44,N33),0)</f>
        <v>0</v>
      </c>
      <c r="O57">
        <f t="shared" si="14"/>
        <v>0</v>
      </c>
      <c r="P57">
        <f t="shared" si="14"/>
        <v>0</v>
      </c>
      <c r="Q57">
        <f t="shared" si="14"/>
        <v>0</v>
      </c>
      <c r="S57" s="5"/>
    </row>
    <row r="58" spans="2:19" x14ac:dyDescent="0.25">
      <c r="B58" s="4" t="s">
        <v>1413</v>
      </c>
      <c r="D58" t="s">
        <v>1434</v>
      </c>
      <c r="F58" t="s">
        <v>1101</v>
      </c>
      <c r="G58" t="s">
        <v>707</v>
      </c>
      <c r="H58">
        <v>0</v>
      </c>
      <c r="I58">
        <f t="shared" ref="I58:K58" si="15">IF($B$4,IF($B$5="PAMS",I45,I34),0)</f>
        <v>0</v>
      </c>
      <c r="J58">
        <f t="shared" si="15"/>
        <v>0</v>
      </c>
      <c r="K58">
        <f t="shared" si="15"/>
        <v>0</v>
      </c>
      <c r="L58">
        <f t="shared" si="7"/>
        <v>0</v>
      </c>
      <c r="M58">
        <f t="shared" si="7"/>
        <v>0</v>
      </c>
      <c r="N58">
        <f t="shared" ref="N58:Q58" si="16">IF($B$50,IF($B$5="PAMS",N45,N34),0)</f>
        <v>0</v>
      </c>
      <c r="O58">
        <f t="shared" si="16"/>
        <v>0</v>
      </c>
      <c r="P58">
        <f t="shared" si="16"/>
        <v>0</v>
      </c>
      <c r="Q58">
        <f t="shared" si="16"/>
        <v>0</v>
      </c>
      <c r="S58" s="5"/>
    </row>
    <row r="59" spans="2:19" x14ac:dyDescent="0.25">
      <c r="B59" s="4" t="s">
        <v>1409</v>
      </c>
      <c r="D59" t="s">
        <v>1433</v>
      </c>
      <c r="F59" t="s">
        <v>1101</v>
      </c>
      <c r="G59" t="s">
        <v>707</v>
      </c>
      <c r="H59">
        <v>0</v>
      </c>
      <c r="I59">
        <f t="shared" ref="I59:K59" si="17">IF($B$4,IF($B$5="PAMS",I46,I35),0)</f>
        <v>0</v>
      </c>
      <c r="J59">
        <f t="shared" si="17"/>
        <v>0</v>
      </c>
      <c r="K59">
        <f t="shared" si="17"/>
        <v>0</v>
      </c>
      <c r="L59">
        <f t="shared" si="7"/>
        <v>0</v>
      </c>
      <c r="M59">
        <f t="shared" si="7"/>
        <v>0</v>
      </c>
      <c r="N59">
        <f t="shared" ref="N59:Q59" si="18">IF($B$50,IF($B$5="PAMS",N46,N35),0)</f>
        <v>0</v>
      </c>
      <c r="O59">
        <f t="shared" si="18"/>
        <v>0</v>
      </c>
      <c r="P59">
        <f t="shared" si="18"/>
        <v>0</v>
      </c>
      <c r="Q59">
        <f t="shared" si="18"/>
        <v>0</v>
      </c>
      <c r="S59" s="5"/>
    </row>
    <row r="60" spans="2:19" x14ac:dyDescent="0.25">
      <c r="B60" s="4" t="s">
        <v>1407</v>
      </c>
      <c r="D60" t="s">
        <v>1433</v>
      </c>
      <c r="F60" t="s">
        <v>1101</v>
      </c>
      <c r="G60" t="s">
        <v>707</v>
      </c>
      <c r="H60">
        <v>0</v>
      </c>
      <c r="I60">
        <f t="shared" ref="I60:K60" si="19">IF($B$4,IF($B$5="PAMS",I47,I36),0)</f>
        <v>0</v>
      </c>
      <c r="J60">
        <f t="shared" si="19"/>
        <v>0</v>
      </c>
      <c r="K60">
        <f t="shared" si="19"/>
        <v>0</v>
      </c>
      <c r="L60">
        <f t="shared" si="7"/>
        <v>0</v>
      </c>
      <c r="M60">
        <f t="shared" si="7"/>
        <v>0</v>
      </c>
      <c r="N60">
        <f t="shared" ref="N60:Q60" si="20">IF($B$50,IF($B$5="PAMS",N47,N36),0)</f>
        <v>0</v>
      </c>
      <c r="O60">
        <f t="shared" si="20"/>
        <v>0</v>
      </c>
      <c r="P60">
        <f t="shared" si="20"/>
        <v>0</v>
      </c>
      <c r="Q60">
        <f t="shared" si="20"/>
        <v>0</v>
      </c>
      <c r="S60" s="5"/>
    </row>
    <row r="61" spans="2:19" x14ac:dyDescent="0.25">
      <c r="B61" t="s">
        <v>1399</v>
      </c>
      <c r="D61" t="s">
        <v>1434</v>
      </c>
      <c r="F61" t="s">
        <v>1101</v>
      </c>
      <c r="G61" t="s">
        <v>707</v>
      </c>
      <c r="H61">
        <v>0</v>
      </c>
      <c r="I61">
        <f t="shared" ref="I61:K61" si="21">IF($B$4,IF($B$5="PAMS",I48,I37),0)</f>
        <v>0</v>
      </c>
      <c r="J61">
        <f t="shared" si="21"/>
        <v>0</v>
      </c>
      <c r="K61">
        <f t="shared" si="21"/>
        <v>0</v>
      </c>
      <c r="L61">
        <f t="shared" si="7"/>
        <v>0</v>
      </c>
      <c r="M61">
        <f t="shared" si="7"/>
        <v>0</v>
      </c>
      <c r="N61">
        <f t="shared" ref="N61:Q61" si="22">IF($B$50,IF($B$5="PAMS",N48,N37),0)</f>
        <v>0</v>
      </c>
      <c r="O61">
        <f t="shared" si="22"/>
        <v>0</v>
      </c>
      <c r="P61">
        <f t="shared" si="22"/>
        <v>0</v>
      </c>
      <c r="Q61">
        <f t="shared" si="22"/>
        <v>0</v>
      </c>
      <c r="S61" s="5"/>
    </row>
    <row r="62" spans="2:19" x14ac:dyDescent="0.25">
      <c r="B62" t="s">
        <v>1396</v>
      </c>
      <c r="D62" t="s">
        <v>1433</v>
      </c>
      <c r="F62" t="s">
        <v>1101</v>
      </c>
      <c r="G62" t="s">
        <v>707</v>
      </c>
      <c r="H62">
        <v>0</v>
      </c>
      <c r="I62">
        <f t="shared" ref="I62:K62" si="23">IF($B$4,IF($B$5="PAMS",I49,I38),0)</f>
        <v>0</v>
      </c>
      <c r="J62">
        <f t="shared" si="23"/>
        <v>0</v>
      </c>
      <c r="K62">
        <f t="shared" si="23"/>
        <v>0</v>
      </c>
      <c r="L62">
        <f t="shared" si="7"/>
        <v>0</v>
      </c>
      <c r="M62">
        <f t="shared" si="7"/>
        <v>0</v>
      </c>
      <c r="N62">
        <f t="shared" ref="N62:Q62" si="24">IF($B$50,IF($B$5="PAMS",N49,N38),0)</f>
        <v>0</v>
      </c>
      <c r="O62">
        <f t="shared" si="24"/>
        <v>0</v>
      </c>
      <c r="P62">
        <f t="shared" si="24"/>
        <v>0</v>
      </c>
      <c r="Q62">
        <f t="shared" si="24"/>
        <v>0</v>
      </c>
      <c r="S62" s="5"/>
    </row>
    <row r="63" spans="2:19" x14ac:dyDescent="0.25">
      <c r="B63" s="4"/>
      <c r="S63" s="5"/>
    </row>
    <row r="64" spans="2:19" x14ac:dyDescent="0.25">
      <c r="B64" s="4"/>
      <c r="E64" s="654" t="s">
        <v>1519</v>
      </c>
      <c r="F64" s="654" t="s">
        <v>1518</v>
      </c>
      <c r="S64" s="5"/>
    </row>
    <row r="65" spans="2:19" x14ac:dyDescent="0.25">
      <c r="B65" s="653" t="s">
        <v>1517</v>
      </c>
      <c r="E65" s="113" t="str">
        <f>IF(AND(B4,B5="PAMS"),"FX","UP")</f>
        <v>UP</v>
      </c>
      <c r="F65" s="113">
        <f>IF(AND(B5="PAMS",pamsindex),3,0)</f>
        <v>0</v>
      </c>
      <c r="S65" s="5"/>
    </row>
    <row r="66" spans="2:19" x14ac:dyDescent="0.25">
      <c r="B66" s="4"/>
      <c r="S66" s="5"/>
    </row>
    <row r="67" spans="2:19" x14ac:dyDescent="0.25">
      <c r="B67" s="630"/>
      <c r="C67" s="113"/>
      <c r="D67" s="113"/>
      <c r="E67" s="113"/>
      <c r="F67" s="113"/>
      <c r="G67" s="113"/>
      <c r="J67" s="113"/>
      <c r="S67" s="5"/>
    </row>
    <row r="68" spans="2:19" x14ac:dyDescent="0.25">
      <c r="B68" s="652"/>
      <c r="C68" s="449"/>
      <c r="D68" s="449"/>
      <c r="E68" s="449"/>
      <c r="F68" s="449"/>
      <c r="G68" s="449"/>
      <c r="H68" s="449"/>
      <c r="I68" s="449"/>
      <c r="J68" s="449"/>
      <c r="K68" s="8"/>
      <c r="L68" s="8"/>
      <c r="M68" s="8"/>
      <c r="N68" s="8"/>
      <c r="O68" s="8"/>
      <c r="P68" s="8"/>
      <c r="Q68" s="8"/>
      <c r="R68" s="8"/>
      <c r="S68" s="9"/>
    </row>
    <row r="69" spans="2:19" x14ac:dyDescent="0.25">
      <c r="B69" s="113"/>
      <c r="C69" s="113"/>
      <c r="D69" s="113"/>
      <c r="E69" s="113"/>
      <c r="F69" s="113"/>
      <c r="G69" s="113"/>
      <c r="H69" s="113"/>
      <c r="I69" s="113"/>
      <c r="J69" s="113"/>
    </row>
  </sheetData>
  <dataValidations count="2">
    <dataValidation type="list" allowBlank="1" showInputMessage="1" showErrorMessage="1" sqref="B4" xr:uid="{C96F09EE-679C-442D-9230-277DAA461FF3}">
      <formula1>"TRUE,FALSE"</formula1>
    </dataValidation>
    <dataValidation type="list" allowBlank="1" showInputMessage="1" showErrorMessage="1" sqref="B5" xr:uid="{5EEBAFC0-0C5A-464D-8999-F9318A72863B}">
      <formula1>$G$4:$G$5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51E63-B7EC-4C88-8DCA-B17B6714D15D}">
  <sheetPr>
    <tabColor rgb="FF92D050"/>
  </sheetPr>
  <dimension ref="A2:AS307"/>
  <sheetViews>
    <sheetView topLeftCell="A118" zoomScale="85" zoomScaleNormal="85" workbookViewId="0">
      <selection activeCell="D153" sqref="D153"/>
    </sheetView>
  </sheetViews>
  <sheetFormatPr defaultRowHeight="15" x14ac:dyDescent="0.25"/>
  <cols>
    <col min="3" max="3" width="15.5703125" customWidth="1"/>
    <col min="4" max="4" width="13.5703125" bestFit="1" customWidth="1"/>
    <col min="5" max="6" width="10.28515625" bestFit="1" customWidth="1"/>
    <col min="7" max="7" width="13.28515625" customWidth="1"/>
    <col min="8" max="8" width="13.5703125" bestFit="1" customWidth="1"/>
    <col min="9" max="9" width="9.28515625" bestFit="1" customWidth="1"/>
    <col min="27" max="27" width="9.140625" customWidth="1"/>
  </cols>
  <sheetData>
    <row r="2" spans="1:45" x14ac:dyDescent="0.25">
      <c r="C2" t="s">
        <v>807</v>
      </c>
      <c r="D2">
        <f>'Summary Hydrogen DRI'!J2</f>
        <v>120</v>
      </c>
      <c r="E2" t="str">
        <f>'Summary Hydrogen DRI'!K2</f>
        <v>MJ/kg</v>
      </c>
      <c r="J2" t="s">
        <v>1129</v>
      </c>
    </row>
    <row r="3" spans="1:45" x14ac:dyDescent="0.25">
      <c r="J3" s="15" t="s">
        <v>1130</v>
      </c>
      <c r="K3" s="16"/>
      <c r="L3" s="16" t="s">
        <v>1131</v>
      </c>
      <c r="M3" s="16"/>
      <c r="N3" s="3"/>
      <c r="P3" t="s">
        <v>1000</v>
      </c>
      <c r="Q3" s="552"/>
      <c r="R3">
        <v>1.1499999999999999</v>
      </c>
      <c r="S3" s="132" t="s">
        <v>821</v>
      </c>
    </row>
    <row r="4" spans="1:45" x14ac:dyDescent="0.25">
      <c r="J4" s="4">
        <v>2020</v>
      </c>
      <c r="L4">
        <v>12.5</v>
      </c>
      <c r="N4" s="5"/>
    </row>
    <row r="5" spans="1:45" x14ac:dyDescent="0.25">
      <c r="J5" s="4">
        <v>2019</v>
      </c>
      <c r="L5">
        <v>11.914999999999999</v>
      </c>
      <c r="N5" s="5"/>
    </row>
    <row r="6" spans="1:45" x14ac:dyDescent="0.25">
      <c r="J6" s="4">
        <v>2018</v>
      </c>
      <c r="L6">
        <v>11.78</v>
      </c>
      <c r="N6" s="5"/>
    </row>
    <row r="10" spans="1:45" ht="23.25" x14ac:dyDescent="0.35">
      <c r="A10" s="428" t="s">
        <v>1136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Y10" s="428" t="s">
        <v>1126</v>
      </c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</row>
    <row r="11" spans="1:45" x14ac:dyDescent="0.25">
      <c r="X11" s="578"/>
    </row>
    <row r="12" spans="1:45" x14ac:dyDescent="0.25">
      <c r="B12" s="579"/>
      <c r="C12" s="579"/>
      <c r="D12" s="579" t="s">
        <v>1139</v>
      </c>
      <c r="E12" s="579"/>
      <c r="F12" s="579"/>
      <c r="G12" s="579"/>
      <c r="H12" s="579"/>
      <c r="I12" s="579"/>
      <c r="J12" s="579"/>
      <c r="K12" s="579"/>
      <c r="L12" s="579"/>
      <c r="M12" s="579"/>
      <c r="N12" s="579"/>
      <c r="O12" s="579"/>
      <c r="P12" s="579"/>
      <c r="Q12" s="579"/>
      <c r="R12" s="579"/>
      <c r="S12" s="579"/>
      <c r="T12" s="579"/>
      <c r="X12" s="578"/>
    </row>
    <row r="13" spans="1:45" x14ac:dyDescent="0.25">
      <c r="B13" s="579"/>
      <c r="C13" s="579"/>
      <c r="D13" s="579"/>
      <c r="E13" s="579"/>
      <c r="F13" s="579"/>
      <c r="G13" s="579"/>
      <c r="H13" s="579"/>
      <c r="I13" s="579"/>
      <c r="J13" s="579"/>
      <c r="K13" s="579"/>
      <c r="L13" s="579"/>
      <c r="M13" s="579"/>
      <c r="N13" s="579"/>
      <c r="O13" s="579"/>
      <c r="P13" s="579"/>
      <c r="Q13" s="579"/>
      <c r="R13" s="579"/>
      <c r="S13" s="579"/>
      <c r="T13" s="579"/>
      <c r="X13" s="578"/>
    </row>
    <row r="14" spans="1:45" ht="21" x14ac:dyDescent="0.35">
      <c r="B14" s="579"/>
      <c r="C14" s="579"/>
      <c r="D14" s="579"/>
      <c r="E14" s="579"/>
      <c r="F14" s="579"/>
      <c r="G14" s="579"/>
      <c r="H14" s="579"/>
      <c r="I14" s="579"/>
      <c r="J14" s="579"/>
      <c r="K14" s="579"/>
      <c r="L14" s="579"/>
      <c r="M14" s="579"/>
      <c r="N14" s="579"/>
      <c r="O14" s="579"/>
      <c r="P14" s="579"/>
      <c r="Q14" s="579"/>
      <c r="R14" s="579"/>
      <c r="S14" s="579"/>
      <c r="T14" s="579"/>
      <c r="X14" s="578"/>
      <c r="Z14" s="495" t="s">
        <v>1116</v>
      </c>
    </row>
    <row r="15" spans="1:45" ht="21" x14ac:dyDescent="0.35">
      <c r="B15" s="579"/>
      <c r="C15" s="579"/>
      <c r="D15" s="579"/>
      <c r="E15" s="579"/>
      <c r="F15" s="579"/>
      <c r="G15" s="579"/>
      <c r="H15" s="579"/>
      <c r="I15" s="579"/>
      <c r="J15" s="579"/>
      <c r="K15" s="579"/>
      <c r="L15" s="579"/>
      <c r="M15" s="579"/>
      <c r="N15" s="579"/>
      <c r="O15" s="579"/>
      <c r="P15" s="579"/>
      <c r="Q15" s="579"/>
      <c r="R15" s="579"/>
      <c r="S15" s="579"/>
      <c r="T15" s="579"/>
      <c r="X15" s="578"/>
      <c r="Z15" s="495"/>
    </row>
    <row r="16" spans="1:45" x14ac:dyDescent="0.25">
      <c r="B16" s="579"/>
      <c r="C16" s="579"/>
      <c r="D16" s="579"/>
      <c r="E16" s="579"/>
      <c r="F16" s="579"/>
      <c r="G16" s="579"/>
      <c r="H16" s="579"/>
      <c r="I16" s="579"/>
      <c r="J16" s="579"/>
      <c r="K16" s="579"/>
      <c r="L16" s="579"/>
      <c r="M16" s="579"/>
      <c r="N16" s="579"/>
      <c r="O16" s="579"/>
      <c r="P16" s="579"/>
      <c r="Q16" s="579"/>
      <c r="R16" s="579"/>
      <c r="S16" s="579"/>
      <c r="T16" s="579"/>
      <c r="X16" s="578"/>
      <c r="Z16" t="s">
        <v>781</v>
      </c>
      <c r="AM16" t="s">
        <v>782</v>
      </c>
    </row>
    <row r="17" spans="2:40" x14ac:dyDescent="0.25">
      <c r="B17" s="579"/>
      <c r="C17" s="579"/>
      <c r="D17" s="579"/>
      <c r="E17" s="579"/>
      <c r="F17" s="579"/>
      <c r="G17" s="579"/>
      <c r="H17" s="579"/>
      <c r="I17" s="579"/>
      <c r="J17" s="579"/>
      <c r="K17" s="579"/>
      <c r="L17" s="579"/>
      <c r="M17" s="579"/>
      <c r="N17" s="579"/>
      <c r="O17" s="579"/>
      <c r="P17" s="579"/>
      <c r="Q17" s="579"/>
      <c r="R17" s="579"/>
      <c r="S17" s="579"/>
      <c r="T17" s="579"/>
      <c r="X17" s="578"/>
      <c r="AM17" t="s">
        <v>783</v>
      </c>
    </row>
    <row r="18" spans="2:40" x14ac:dyDescent="0.25">
      <c r="B18" s="579"/>
      <c r="C18" s="579"/>
      <c r="D18" s="579"/>
      <c r="E18" s="579"/>
      <c r="F18" s="579"/>
      <c r="G18" s="579"/>
      <c r="H18" s="579"/>
      <c r="I18" s="579"/>
      <c r="J18" s="579"/>
      <c r="K18" s="579"/>
      <c r="L18" s="579"/>
      <c r="M18" s="579"/>
      <c r="N18" s="579"/>
      <c r="O18" s="579"/>
      <c r="P18" s="579"/>
      <c r="Q18" s="579"/>
      <c r="R18" s="579"/>
      <c r="S18" s="579"/>
      <c r="T18" s="579"/>
      <c r="X18" s="578"/>
      <c r="AM18" t="s">
        <v>784</v>
      </c>
    </row>
    <row r="19" spans="2:40" x14ac:dyDescent="0.25">
      <c r="B19" s="579"/>
      <c r="C19" s="579"/>
      <c r="D19" s="579"/>
      <c r="E19" s="579"/>
      <c r="F19" s="579"/>
      <c r="G19" s="579"/>
      <c r="H19" s="579"/>
      <c r="I19" s="579"/>
      <c r="J19" s="579"/>
      <c r="K19" s="579"/>
      <c r="L19" s="579"/>
      <c r="M19" s="579"/>
      <c r="N19" s="579"/>
      <c r="O19" s="579"/>
      <c r="P19" s="579"/>
      <c r="Q19" s="579"/>
      <c r="R19" s="579"/>
      <c r="S19" s="579"/>
      <c r="T19" s="579"/>
      <c r="X19" s="578"/>
      <c r="AM19" t="s">
        <v>785</v>
      </c>
      <c r="AN19" t="s">
        <v>786</v>
      </c>
    </row>
    <row r="20" spans="2:40" x14ac:dyDescent="0.25">
      <c r="B20" s="579"/>
      <c r="C20" s="579"/>
      <c r="D20" s="579"/>
      <c r="E20" s="579"/>
      <c r="F20" s="579"/>
      <c r="G20" s="579"/>
      <c r="H20" s="579"/>
      <c r="I20" s="579"/>
      <c r="J20" s="579"/>
      <c r="K20" s="579"/>
      <c r="L20" s="579"/>
      <c r="M20" s="579"/>
      <c r="N20" s="579"/>
      <c r="O20" s="579"/>
      <c r="P20" s="579"/>
      <c r="Q20" s="579"/>
      <c r="R20" s="579"/>
      <c r="S20" s="579"/>
      <c r="T20" s="579"/>
      <c r="X20" s="578"/>
      <c r="AM20">
        <v>300</v>
      </c>
      <c r="AN20" t="s">
        <v>787</v>
      </c>
    </row>
    <row r="21" spans="2:40" x14ac:dyDescent="0.25">
      <c r="B21" s="579"/>
      <c r="C21" s="579"/>
      <c r="D21" s="579"/>
      <c r="E21" s="579"/>
      <c r="F21" s="579"/>
      <c r="G21" s="579"/>
      <c r="H21" s="579"/>
      <c r="I21" s="579"/>
      <c r="J21" s="579"/>
      <c r="K21" s="579"/>
      <c r="L21" s="579"/>
      <c r="M21" s="579"/>
      <c r="N21" s="579"/>
      <c r="O21" s="579"/>
      <c r="P21" s="579"/>
      <c r="Q21" s="579"/>
      <c r="R21" s="579"/>
      <c r="S21" s="579"/>
      <c r="T21" s="579"/>
      <c r="X21" s="578"/>
      <c r="AM21" t="s">
        <v>788</v>
      </c>
    </row>
    <row r="22" spans="2:40" x14ac:dyDescent="0.25">
      <c r="B22" s="579"/>
      <c r="C22" s="579"/>
      <c r="D22" s="579"/>
      <c r="E22" s="579"/>
      <c r="F22" s="579"/>
      <c r="G22" s="579"/>
      <c r="H22" s="579"/>
      <c r="I22" s="579"/>
      <c r="J22" s="579"/>
      <c r="K22" s="579"/>
      <c r="L22" s="579"/>
      <c r="M22" s="579"/>
      <c r="N22" s="579"/>
      <c r="O22" s="579"/>
      <c r="P22" s="579"/>
      <c r="Q22" s="579"/>
      <c r="R22" s="579"/>
      <c r="S22" s="579"/>
      <c r="T22" s="579"/>
      <c r="X22" s="578"/>
    </row>
    <row r="23" spans="2:40" x14ac:dyDescent="0.25">
      <c r="B23" s="579"/>
      <c r="C23" s="579"/>
      <c r="D23" s="579"/>
      <c r="E23" s="579"/>
      <c r="F23" s="579"/>
      <c r="G23" s="579"/>
      <c r="H23" s="579"/>
      <c r="I23" s="579"/>
      <c r="J23" s="579"/>
      <c r="K23" s="579"/>
      <c r="L23" s="579"/>
      <c r="M23" s="579"/>
      <c r="N23" s="579"/>
      <c r="O23" s="579"/>
      <c r="P23" s="579"/>
      <c r="Q23" s="579"/>
      <c r="R23" s="579"/>
      <c r="S23" s="579"/>
      <c r="T23" s="579"/>
      <c r="X23" s="578"/>
    </row>
    <row r="24" spans="2:40" x14ac:dyDescent="0.25">
      <c r="B24" s="579"/>
      <c r="C24" s="579"/>
      <c r="D24" s="579"/>
      <c r="E24" s="579"/>
      <c r="F24" s="579"/>
      <c r="G24" s="579"/>
      <c r="H24" s="579"/>
      <c r="I24" s="579"/>
      <c r="J24" s="579"/>
      <c r="K24" s="579"/>
      <c r="L24" s="579"/>
      <c r="M24" s="579"/>
      <c r="N24" s="579"/>
      <c r="O24" s="579"/>
      <c r="P24" s="579"/>
      <c r="Q24" s="579"/>
      <c r="R24" s="579"/>
      <c r="S24" s="579"/>
      <c r="T24" s="579"/>
      <c r="X24" s="578"/>
    </row>
    <row r="25" spans="2:40" x14ac:dyDescent="0.25">
      <c r="B25" s="579"/>
      <c r="C25" s="579"/>
      <c r="D25" s="579"/>
      <c r="E25" s="579"/>
      <c r="F25" s="579"/>
      <c r="G25" s="579"/>
      <c r="H25" s="579"/>
      <c r="I25" s="579"/>
      <c r="J25" s="579"/>
      <c r="K25" s="579"/>
      <c r="L25" s="579"/>
      <c r="M25" s="579"/>
      <c r="N25" s="579"/>
      <c r="O25" s="579"/>
      <c r="P25" s="579"/>
      <c r="Q25" s="579"/>
      <c r="R25" s="579"/>
      <c r="S25" s="579"/>
      <c r="T25" s="579"/>
      <c r="X25" s="578"/>
    </row>
    <row r="26" spans="2:40" x14ac:dyDescent="0.25">
      <c r="B26" s="579"/>
      <c r="C26" s="579"/>
      <c r="D26" s="579"/>
      <c r="E26" s="579"/>
      <c r="F26" s="579"/>
      <c r="G26" s="579"/>
      <c r="H26" s="579"/>
      <c r="I26" s="579"/>
      <c r="J26" s="579"/>
      <c r="K26" s="579"/>
      <c r="L26" s="579"/>
      <c r="M26" s="579"/>
      <c r="N26" s="579"/>
      <c r="O26" s="579"/>
      <c r="P26" s="579"/>
      <c r="Q26" s="579"/>
      <c r="R26" s="579"/>
      <c r="S26" s="579"/>
      <c r="T26" s="579"/>
      <c r="X26" s="578"/>
    </row>
    <row r="27" spans="2:40" x14ac:dyDescent="0.25">
      <c r="B27" s="579"/>
      <c r="C27" s="579"/>
      <c r="D27" s="579"/>
      <c r="E27" s="579"/>
      <c r="F27" s="579"/>
      <c r="G27" s="579"/>
      <c r="H27" s="579"/>
      <c r="I27" s="579"/>
      <c r="J27" s="579"/>
      <c r="K27" s="579"/>
      <c r="L27" s="579"/>
      <c r="M27" s="579"/>
      <c r="N27" s="579"/>
      <c r="O27" s="579"/>
      <c r="P27" s="579"/>
      <c r="Q27" s="579"/>
      <c r="R27" s="579"/>
      <c r="S27" s="579"/>
      <c r="T27" s="579"/>
      <c r="X27" s="578"/>
    </row>
    <row r="28" spans="2:40" x14ac:dyDescent="0.25">
      <c r="B28" s="579"/>
      <c r="C28" s="579"/>
      <c r="D28" s="579"/>
      <c r="E28" s="579"/>
      <c r="F28" s="579"/>
      <c r="G28" s="579"/>
      <c r="H28" s="579"/>
      <c r="I28" s="579"/>
      <c r="J28" s="579"/>
      <c r="K28" s="579"/>
      <c r="L28" s="579"/>
      <c r="M28" s="579"/>
      <c r="N28" s="579"/>
      <c r="O28" s="579"/>
      <c r="P28" s="579"/>
      <c r="Q28" s="579"/>
      <c r="R28" s="579"/>
      <c r="S28" s="579"/>
      <c r="T28" s="579"/>
      <c r="X28" s="578"/>
    </row>
    <row r="29" spans="2:40" x14ac:dyDescent="0.25">
      <c r="B29" s="579"/>
      <c r="C29" s="579"/>
      <c r="D29" s="579"/>
      <c r="E29" s="579"/>
      <c r="F29" s="579"/>
      <c r="G29" s="579"/>
      <c r="H29" s="579"/>
      <c r="I29" s="579"/>
      <c r="J29" s="579"/>
      <c r="K29" s="579"/>
      <c r="L29" s="579"/>
      <c r="M29" s="579"/>
      <c r="N29" s="579"/>
      <c r="O29" s="579"/>
      <c r="P29" s="579"/>
      <c r="Q29" s="579"/>
      <c r="R29" s="579"/>
      <c r="S29" s="579"/>
      <c r="T29" s="579"/>
      <c r="X29" s="578"/>
    </row>
    <row r="30" spans="2:40" x14ac:dyDescent="0.25">
      <c r="B30" s="579"/>
      <c r="C30" s="579"/>
      <c r="D30" s="579"/>
      <c r="E30" s="579"/>
      <c r="F30" s="579"/>
      <c r="G30" s="579"/>
      <c r="H30" s="579"/>
      <c r="I30" s="579"/>
      <c r="J30" s="579"/>
      <c r="K30" s="579"/>
      <c r="L30" s="579"/>
      <c r="M30" s="579"/>
      <c r="N30" s="579"/>
      <c r="O30" s="579"/>
      <c r="P30" s="579"/>
      <c r="Q30" s="579"/>
      <c r="R30" s="579"/>
      <c r="S30" s="579"/>
      <c r="T30" s="579"/>
      <c r="X30" s="578"/>
    </row>
    <row r="31" spans="2:40" x14ac:dyDescent="0.25"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X31" s="578"/>
    </row>
    <row r="32" spans="2:40" x14ac:dyDescent="0.25">
      <c r="B32" s="579"/>
      <c r="C32" s="579"/>
      <c r="D32" s="579"/>
      <c r="E32" s="579"/>
      <c r="F32" s="579"/>
      <c r="G32" s="579"/>
      <c r="H32" s="579"/>
      <c r="I32" s="579"/>
      <c r="J32" s="579"/>
      <c r="K32" s="579"/>
      <c r="L32" s="579"/>
      <c r="M32" s="579"/>
      <c r="N32" s="579"/>
      <c r="O32" s="579"/>
      <c r="P32" s="579"/>
      <c r="Q32" s="579"/>
      <c r="R32" s="579"/>
      <c r="S32" s="579"/>
      <c r="T32" s="579"/>
      <c r="X32" s="578"/>
    </row>
    <row r="33" spans="2:24" x14ac:dyDescent="0.25">
      <c r="B33" s="579"/>
      <c r="C33" s="579"/>
      <c r="D33" s="579"/>
      <c r="E33" s="579"/>
      <c r="F33" s="579"/>
      <c r="G33" s="579"/>
      <c r="H33" s="579"/>
      <c r="I33" s="579"/>
      <c r="J33" s="579"/>
      <c r="K33" s="579"/>
      <c r="L33" s="579"/>
      <c r="M33" s="579"/>
      <c r="N33" s="579"/>
      <c r="O33" s="579"/>
      <c r="P33" s="579"/>
      <c r="Q33" s="579"/>
      <c r="R33" s="579"/>
      <c r="S33" s="579"/>
      <c r="T33" s="579"/>
      <c r="X33" s="578"/>
    </row>
    <row r="34" spans="2:24" x14ac:dyDescent="0.25">
      <c r="B34" s="579"/>
      <c r="C34" s="579"/>
      <c r="D34" s="579"/>
      <c r="E34" s="579"/>
      <c r="F34" s="579"/>
      <c r="G34" s="579"/>
      <c r="H34" s="579"/>
      <c r="I34" s="579"/>
      <c r="J34" s="579"/>
      <c r="K34" s="579"/>
      <c r="L34" s="579"/>
      <c r="M34" s="579"/>
      <c r="N34" s="579"/>
      <c r="O34" s="579"/>
      <c r="P34" s="579"/>
      <c r="Q34" s="579"/>
      <c r="R34" s="579"/>
      <c r="S34" s="579"/>
      <c r="T34" s="579"/>
      <c r="X34" s="578"/>
    </row>
    <row r="35" spans="2:24" x14ac:dyDescent="0.25">
      <c r="B35" s="579"/>
      <c r="C35" s="579"/>
      <c r="D35" s="579"/>
      <c r="E35" s="579"/>
      <c r="F35" s="579"/>
      <c r="G35" s="579"/>
      <c r="H35" s="579"/>
      <c r="I35" s="579"/>
      <c r="J35" s="579"/>
      <c r="K35" s="579"/>
      <c r="L35" s="579"/>
      <c r="M35" s="579"/>
      <c r="N35" s="579"/>
      <c r="O35" s="579"/>
      <c r="P35" s="579"/>
      <c r="Q35" s="579"/>
      <c r="R35" s="579"/>
      <c r="S35" s="579"/>
      <c r="T35" s="579"/>
      <c r="X35" s="578"/>
    </row>
    <row r="36" spans="2:24" x14ac:dyDescent="0.25">
      <c r="B36" s="579"/>
      <c r="C36" s="579"/>
      <c r="D36" s="579"/>
      <c r="E36" s="579"/>
      <c r="F36" s="579"/>
      <c r="G36" s="579"/>
      <c r="H36" s="579"/>
      <c r="I36" s="579"/>
      <c r="J36" s="579"/>
      <c r="K36" s="579"/>
      <c r="L36" s="579"/>
      <c r="M36" s="579"/>
      <c r="N36" s="579"/>
      <c r="O36" s="579"/>
      <c r="P36" s="579"/>
      <c r="Q36" s="579"/>
      <c r="R36" s="579"/>
      <c r="S36" s="579"/>
      <c r="T36" s="579"/>
      <c r="X36" s="578"/>
    </row>
    <row r="37" spans="2:24" x14ac:dyDescent="0.25">
      <c r="B37" s="579"/>
      <c r="C37" s="579"/>
      <c r="D37" s="579"/>
      <c r="E37" s="579"/>
      <c r="F37" s="579"/>
      <c r="G37" s="579"/>
      <c r="H37" s="579"/>
      <c r="I37" s="579"/>
      <c r="J37" s="579"/>
      <c r="K37" s="579"/>
      <c r="L37" s="579"/>
      <c r="M37" s="579"/>
      <c r="N37" s="579"/>
      <c r="O37" s="579"/>
      <c r="P37" s="579"/>
      <c r="Q37" s="579"/>
      <c r="R37" s="579"/>
      <c r="S37" s="579"/>
      <c r="T37" s="579"/>
      <c r="X37" s="578"/>
    </row>
    <row r="38" spans="2:24" x14ac:dyDescent="0.25">
      <c r="B38" s="579"/>
      <c r="C38" s="579"/>
      <c r="D38" s="579"/>
      <c r="E38" s="579"/>
      <c r="F38" s="579"/>
      <c r="G38" s="579"/>
      <c r="H38" s="579"/>
      <c r="I38" s="579"/>
      <c r="J38" s="579"/>
      <c r="K38" s="579"/>
      <c r="L38" s="579"/>
      <c r="M38" s="579"/>
      <c r="N38" s="579"/>
      <c r="O38" s="579"/>
      <c r="P38" s="579"/>
      <c r="Q38" s="579"/>
      <c r="R38" s="579"/>
      <c r="S38" s="579"/>
      <c r="T38" s="579"/>
      <c r="X38" s="578"/>
    </row>
    <row r="39" spans="2:24" x14ac:dyDescent="0.25">
      <c r="B39" s="579"/>
      <c r="C39" s="579"/>
      <c r="D39" s="579"/>
      <c r="E39" s="579"/>
      <c r="F39" s="579"/>
      <c r="G39" s="579"/>
      <c r="H39" s="579"/>
      <c r="I39" s="579"/>
      <c r="J39" s="579"/>
      <c r="K39" s="579"/>
      <c r="L39" s="579"/>
      <c r="M39" s="579"/>
      <c r="N39" s="579"/>
      <c r="O39" s="579"/>
      <c r="P39" s="579"/>
      <c r="Q39" s="579"/>
      <c r="R39" s="579"/>
      <c r="S39" s="579"/>
      <c r="T39" s="579"/>
      <c r="X39" s="578"/>
    </row>
    <row r="40" spans="2:24" x14ac:dyDescent="0.25">
      <c r="B40" s="579"/>
      <c r="C40" s="579"/>
      <c r="D40" s="579"/>
      <c r="E40" s="579"/>
      <c r="F40" s="579"/>
      <c r="G40" s="579"/>
      <c r="H40" s="579"/>
      <c r="I40" s="579"/>
      <c r="J40" s="579"/>
      <c r="K40" s="579"/>
      <c r="L40" s="579"/>
      <c r="M40" s="579"/>
      <c r="N40" s="579"/>
      <c r="O40" s="579"/>
      <c r="P40" s="579"/>
      <c r="Q40" s="579"/>
      <c r="R40" s="579"/>
      <c r="S40" s="579"/>
      <c r="T40" s="579"/>
      <c r="X40" s="578"/>
    </row>
    <row r="41" spans="2:24" x14ac:dyDescent="0.25">
      <c r="B41" s="579"/>
      <c r="C41" s="579"/>
      <c r="D41" s="579"/>
      <c r="E41" s="579"/>
      <c r="F41" s="579"/>
      <c r="G41" s="579"/>
      <c r="H41" s="579"/>
      <c r="I41" s="579"/>
      <c r="J41" s="579"/>
      <c r="K41" s="579"/>
      <c r="L41" s="579"/>
      <c r="M41" s="579"/>
      <c r="N41" s="579"/>
      <c r="O41" s="579"/>
      <c r="P41" s="579"/>
      <c r="Q41" s="579"/>
      <c r="R41" s="579"/>
      <c r="S41" s="579"/>
      <c r="T41" s="579"/>
      <c r="X41" s="578"/>
    </row>
    <row r="42" spans="2:24" x14ac:dyDescent="0.25">
      <c r="X42" s="578"/>
    </row>
    <row r="43" spans="2:24" x14ac:dyDescent="0.25">
      <c r="X43" s="578"/>
    </row>
    <row r="44" spans="2:24" x14ac:dyDescent="0.25">
      <c r="X44" s="578"/>
    </row>
    <row r="45" spans="2:24" x14ac:dyDescent="0.25">
      <c r="X45" s="578"/>
    </row>
    <row r="46" spans="2:24" x14ac:dyDescent="0.25">
      <c r="X46" s="578"/>
    </row>
    <row r="47" spans="2:24" x14ac:dyDescent="0.25">
      <c r="X47" s="578"/>
    </row>
    <row r="48" spans="2:24" x14ac:dyDescent="0.25">
      <c r="X48" s="578"/>
    </row>
    <row r="49" spans="2:36" x14ac:dyDescent="0.25">
      <c r="X49" s="578"/>
    </row>
    <row r="50" spans="2:36" x14ac:dyDescent="0.25">
      <c r="X50" s="578"/>
    </row>
    <row r="51" spans="2:36" x14ac:dyDescent="0.25">
      <c r="X51" s="578"/>
    </row>
    <row r="52" spans="2:36" x14ac:dyDescent="0.25">
      <c r="X52" s="578"/>
    </row>
    <row r="53" spans="2:36" ht="15.75" x14ac:dyDescent="0.25">
      <c r="B53" s="580" t="s">
        <v>1135</v>
      </c>
      <c r="X53" s="578"/>
    </row>
    <row r="54" spans="2:36" x14ac:dyDescent="0.25">
      <c r="X54" s="578"/>
    </row>
    <row r="55" spans="2:36" x14ac:dyDescent="0.25">
      <c r="X55" s="578"/>
    </row>
    <row r="56" spans="2:36" x14ac:dyDescent="0.25">
      <c r="C56" s="5"/>
      <c r="D56" s="673" t="s">
        <v>789</v>
      </c>
      <c r="E56" s="674"/>
      <c r="F56" s="675"/>
      <c r="G56" s="673" t="s">
        <v>795</v>
      </c>
      <c r="H56" s="674"/>
      <c r="I56" s="675"/>
      <c r="X56" s="578"/>
    </row>
    <row r="57" spans="2:36" x14ac:dyDescent="0.25">
      <c r="B57" s="8"/>
      <c r="C57" s="9" t="s">
        <v>1119</v>
      </c>
      <c r="D57" s="11" t="s">
        <v>790</v>
      </c>
      <c r="E57" s="11">
        <v>2030</v>
      </c>
      <c r="F57" s="502" t="s">
        <v>1117</v>
      </c>
      <c r="G57" s="11" t="s">
        <v>790</v>
      </c>
      <c r="H57" s="11">
        <v>2030</v>
      </c>
      <c r="I57" s="502" t="s">
        <v>1117</v>
      </c>
      <c r="X57" s="578"/>
      <c r="AB57" s="5"/>
      <c r="AC57" t="s">
        <v>789</v>
      </c>
      <c r="AE57" s="5"/>
      <c r="AF57" t="s">
        <v>795</v>
      </c>
      <c r="AH57" s="5"/>
    </row>
    <row r="58" spans="2:36" x14ac:dyDescent="0.25">
      <c r="B58" s="670" t="s">
        <v>1121</v>
      </c>
      <c r="C58" s="5" t="s">
        <v>792</v>
      </c>
      <c r="D58" s="586">
        <v>0.56000000000000005</v>
      </c>
      <c r="E58" s="587">
        <v>0.63</v>
      </c>
      <c r="F58" s="284">
        <v>0.67</v>
      </c>
      <c r="G58" s="282">
        <v>0.63</v>
      </c>
      <c r="H58" s="282">
        <v>0.65</v>
      </c>
      <c r="I58" s="284">
        <v>0.7</v>
      </c>
      <c r="X58" s="578"/>
      <c r="AA58" s="8"/>
      <c r="AB58" s="9" t="s">
        <v>1119</v>
      </c>
      <c r="AC58" s="8" t="s">
        <v>790</v>
      </c>
      <c r="AD58" s="8">
        <v>2030</v>
      </c>
      <c r="AE58" s="9" t="s">
        <v>1117</v>
      </c>
      <c r="AF58" s="8" t="s">
        <v>790</v>
      </c>
      <c r="AG58" s="8">
        <v>2030</v>
      </c>
      <c r="AH58" s="9" t="s">
        <v>1117</v>
      </c>
      <c r="AI58" s="443"/>
      <c r="AJ58" s="443"/>
    </row>
    <row r="59" spans="2:36" x14ac:dyDescent="0.25">
      <c r="B59" s="671"/>
      <c r="C59" s="5" t="s">
        <v>794</v>
      </c>
      <c r="D59" s="586">
        <v>0.6</v>
      </c>
      <c r="E59" s="282">
        <v>0.68</v>
      </c>
      <c r="F59" s="284">
        <v>0.74</v>
      </c>
      <c r="G59" s="282">
        <v>0.7</v>
      </c>
      <c r="H59" s="282">
        <v>0.71</v>
      </c>
      <c r="I59" s="284">
        <v>0.8</v>
      </c>
      <c r="X59" s="578"/>
      <c r="AA59" t="s">
        <v>1121</v>
      </c>
      <c r="AB59" s="5" t="s">
        <v>792</v>
      </c>
      <c r="AC59" s="367">
        <v>0.56000000000000005</v>
      </c>
      <c r="AD59" s="137">
        <v>0.63</v>
      </c>
      <c r="AE59" s="318">
        <v>0.67</v>
      </c>
      <c r="AF59" s="367">
        <v>0.63</v>
      </c>
      <c r="AG59" s="367">
        <v>0.65</v>
      </c>
      <c r="AH59" s="318">
        <v>0.7</v>
      </c>
    </row>
    <row r="60" spans="2:36" x14ac:dyDescent="0.25">
      <c r="B60" s="672"/>
      <c r="C60" s="9" t="s">
        <v>1018</v>
      </c>
      <c r="D60" s="586">
        <f t="shared" ref="D60:I60" si="0">AVERAGE(D58:D59)</f>
        <v>0.58000000000000007</v>
      </c>
      <c r="E60" s="282">
        <f t="shared" si="0"/>
        <v>0.65500000000000003</v>
      </c>
      <c r="F60" s="284">
        <f t="shared" si="0"/>
        <v>0.70500000000000007</v>
      </c>
      <c r="G60" s="282">
        <f t="shared" si="0"/>
        <v>0.66500000000000004</v>
      </c>
      <c r="H60" s="282">
        <f t="shared" si="0"/>
        <v>0.67999999999999994</v>
      </c>
      <c r="I60" s="284">
        <f t="shared" si="0"/>
        <v>0.75</v>
      </c>
      <c r="X60" s="578"/>
      <c r="AB60" s="5" t="s">
        <v>794</v>
      </c>
      <c r="AC60" s="367">
        <v>0.6</v>
      </c>
      <c r="AD60" s="367">
        <v>0.68</v>
      </c>
      <c r="AE60" s="318">
        <v>0.74</v>
      </c>
      <c r="AF60" s="367">
        <v>0.7</v>
      </c>
      <c r="AG60" s="367">
        <v>0.71</v>
      </c>
      <c r="AH60" s="318">
        <v>0.8</v>
      </c>
    </row>
    <row r="61" spans="2:36" x14ac:dyDescent="0.25">
      <c r="B61" s="670" t="s">
        <v>1137</v>
      </c>
      <c r="C61" s="5" t="s">
        <v>792</v>
      </c>
      <c r="D61" s="588">
        <f t="shared" ref="D61:I63" si="1">AC62*$L$5</f>
        <v>13106.499999999998</v>
      </c>
      <c r="E61" s="134">
        <f t="shared" si="1"/>
        <v>7744.7499999999991</v>
      </c>
      <c r="F61" s="141">
        <f t="shared" si="1"/>
        <v>2383</v>
      </c>
      <c r="G61" s="134">
        <f t="shared" si="1"/>
        <v>5957.5</v>
      </c>
      <c r="H61" s="134">
        <f t="shared" si="1"/>
        <v>4766</v>
      </c>
      <c r="I61" s="141">
        <f t="shared" si="1"/>
        <v>2383</v>
      </c>
      <c r="L61" t="s">
        <v>1138</v>
      </c>
      <c r="X61" s="578"/>
      <c r="AA61" s="8"/>
      <c r="AB61" s="9" t="s">
        <v>1018</v>
      </c>
      <c r="AC61" s="282">
        <f t="shared" ref="AC61:AH61" si="2">AVERAGE(AC59:AC60)</f>
        <v>0.58000000000000007</v>
      </c>
      <c r="AD61" s="282">
        <f t="shared" si="2"/>
        <v>0.65500000000000003</v>
      </c>
      <c r="AE61" s="284">
        <f t="shared" si="2"/>
        <v>0.70500000000000007</v>
      </c>
      <c r="AF61" s="282">
        <f t="shared" si="2"/>
        <v>0.66500000000000004</v>
      </c>
      <c r="AG61" s="282">
        <f t="shared" si="2"/>
        <v>0.67999999999999994</v>
      </c>
      <c r="AH61" s="284">
        <f t="shared" si="2"/>
        <v>0.75</v>
      </c>
    </row>
    <row r="62" spans="2:36" x14ac:dyDescent="0.25">
      <c r="B62" s="671"/>
      <c r="C62" s="5" t="s">
        <v>794</v>
      </c>
      <c r="D62" s="588">
        <f t="shared" si="1"/>
        <v>21447</v>
      </c>
      <c r="E62" s="134">
        <f t="shared" si="1"/>
        <v>17872.5</v>
      </c>
      <c r="F62" s="141">
        <f t="shared" si="1"/>
        <v>10723.5</v>
      </c>
      <c r="G62" s="134">
        <f t="shared" si="1"/>
        <v>16681</v>
      </c>
      <c r="H62" s="134">
        <f t="shared" si="1"/>
        <v>10127.75</v>
      </c>
      <c r="I62" s="141">
        <f t="shared" si="1"/>
        <v>8340.5</v>
      </c>
      <c r="X62" s="578"/>
      <c r="AA62" t="s">
        <v>1120</v>
      </c>
      <c r="AB62" s="5" t="s">
        <v>792</v>
      </c>
      <c r="AC62">
        <v>1100</v>
      </c>
      <c r="AD62">
        <v>650</v>
      </c>
      <c r="AE62" s="5">
        <v>200</v>
      </c>
      <c r="AF62">
        <v>500</v>
      </c>
      <c r="AG62">
        <v>400</v>
      </c>
      <c r="AH62" s="5">
        <v>200</v>
      </c>
    </row>
    <row r="63" spans="2:36" x14ac:dyDescent="0.25">
      <c r="B63" s="672"/>
      <c r="C63" s="9" t="s">
        <v>1018</v>
      </c>
      <c r="D63" s="134">
        <f t="shared" si="1"/>
        <v>17276.75</v>
      </c>
      <c r="E63" s="134">
        <f t="shared" si="1"/>
        <v>12808.624999999998</v>
      </c>
      <c r="F63" s="141">
        <f t="shared" si="1"/>
        <v>6553.2499999999991</v>
      </c>
      <c r="G63" s="134">
        <f t="shared" si="1"/>
        <v>11319.25</v>
      </c>
      <c r="H63" s="134">
        <f t="shared" si="1"/>
        <v>7446.8749999999991</v>
      </c>
      <c r="I63" s="141">
        <f t="shared" si="1"/>
        <v>5361.75</v>
      </c>
      <c r="X63" s="578"/>
      <c r="AB63" s="5" t="s">
        <v>794</v>
      </c>
      <c r="AC63">
        <v>1800</v>
      </c>
      <c r="AD63">
        <v>1500</v>
      </c>
      <c r="AE63" s="5">
        <v>900</v>
      </c>
      <c r="AF63">
        <v>1400</v>
      </c>
      <c r="AG63">
        <v>850</v>
      </c>
      <c r="AH63" s="5">
        <v>700</v>
      </c>
    </row>
    <row r="64" spans="2:36" x14ac:dyDescent="0.25">
      <c r="B64" s="670" t="s">
        <v>1122</v>
      </c>
      <c r="C64" s="5" t="s">
        <v>792</v>
      </c>
      <c r="D64" s="7">
        <v>30000</v>
      </c>
      <c r="E64" s="8">
        <v>60000</v>
      </c>
      <c r="F64" s="9">
        <v>10000</v>
      </c>
      <c r="G64" s="8">
        <v>60000</v>
      </c>
      <c r="H64" s="589">
        <v>90000</v>
      </c>
      <c r="I64" s="590">
        <v>100000</v>
      </c>
      <c r="X64" s="578"/>
      <c r="AA64" s="8"/>
      <c r="AB64" s="9" t="s">
        <v>1018</v>
      </c>
      <c r="AC64" s="8">
        <f t="shared" ref="AC64:AH64" si="3">AVERAGE(AC62:AC63)</f>
        <v>1450</v>
      </c>
      <c r="AD64" s="8">
        <f t="shared" si="3"/>
        <v>1075</v>
      </c>
      <c r="AE64" s="9">
        <f t="shared" si="3"/>
        <v>550</v>
      </c>
      <c r="AF64" s="8">
        <f t="shared" si="3"/>
        <v>950</v>
      </c>
      <c r="AG64" s="8">
        <f t="shared" si="3"/>
        <v>625</v>
      </c>
      <c r="AH64" s="9">
        <f t="shared" si="3"/>
        <v>450</v>
      </c>
    </row>
    <row r="65" spans="2:37" x14ac:dyDescent="0.25">
      <c r="B65" s="671"/>
      <c r="C65" s="5" t="s">
        <v>794</v>
      </c>
      <c r="D65" s="7">
        <v>90000</v>
      </c>
      <c r="E65" s="8">
        <v>90000</v>
      </c>
      <c r="F65" s="9">
        <v>15000</v>
      </c>
      <c r="G65" s="8">
        <v>90000</v>
      </c>
      <c r="H65" s="589">
        <v>100000</v>
      </c>
      <c r="I65" s="590">
        <v>150000</v>
      </c>
      <c r="X65" s="578"/>
      <c r="AA65" t="s">
        <v>1122</v>
      </c>
      <c r="AB65" s="5" t="s">
        <v>792</v>
      </c>
      <c r="AC65">
        <v>30000</v>
      </c>
      <c r="AD65">
        <v>60000</v>
      </c>
      <c r="AE65" s="5">
        <v>10000</v>
      </c>
      <c r="AF65">
        <v>60000</v>
      </c>
      <c r="AG65" s="494">
        <v>90000</v>
      </c>
      <c r="AH65" s="577">
        <v>100000</v>
      </c>
    </row>
    <row r="66" spans="2:37" x14ac:dyDescent="0.25">
      <c r="B66" s="672"/>
      <c r="C66" s="9" t="s">
        <v>1018</v>
      </c>
      <c r="D66" s="8">
        <f t="shared" ref="D66:I66" si="4">AVERAGE(D64:D65)</f>
        <v>60000</v>
      </c>
      <c r="E66" s="8">
        <f t="shared" si="4"/>
        <v>75000</v>
      </c>
      <c r="F66" s="9">
        <f t="shared" si="4"/>
        <v>12500</v>
      </c>
      <c r="G66" s="8">
        <f t="shared" si="4"/>
        <v>75000</v>
      </c>
      <c r="H66" s="8">
        <f t="shared" si="4"/>
        <v>95000</v>
      </c>
      <c r="I66" s="9">
        <f t="shared" si="4"/>
        <v>125000</v>
      </c>
      <c r="X66" s="578"/>
      <c r="AB66" s="5" t="s">
        <v>794</v>
      </c>
      <c r="AC66">
        <v>90000</v>
      </c>
      <c r="AD66">
        <v>90000</v>
      </c>
      <c r="AE66" s="5">
        <v>15000</v>
      </c>
      <c r="AF66">
        <v>90000</v>
      </c>
      <c r="AG66" s="494">
        <v>100000</v>
      </c>
      <c r="AH66" s="577">
        <v>150000</v>
      </c>
    </row>
    <row r="67" spans="2:37" x14ac:dyDescent="0.25">
      <c r="X67" s="578"/>
      <c r="AA67" s="8"/>
      <c r="AB67" s="9" t="s">
        <v>1018</v>
      </c>
      <c r="AC67" s="8">
        <f t="shared" ref="AC67:AH67" si="5">AVERAGE(AC65:AC66)</f>
        <v>60000</v>
      </c>
      <c r="AD67" s="8">
        <f t="shared" si="5"/>
        <v>75000</v>
      </c>
      <c r="AE67" s="9">
        <f t="shared" si="5"/>
        <v>12500</v>
      </c>
      <c r="AF67" s="8">
        <f t="shared" si="5"/>
        <v>75000</v>
      </c>
      <c r="AG67" s="8">
        <f t="shared" si="5"/>
        <v>95000</v>
      </c>
      <c r="AH67" s="9">
        <f t="shared" si="5"/>
        <v>125000</v>
      </c>
    </row>
    <row r="68" spans="2:37" x14ac:dyDescent="0.25">
      <c r="X68" s="578"/>
      <c r="AJ68" s="367"/>
      <c r="AK68" s="367"/>
    </row>
    <row r="69" spans="2:37" x14ac:dyDescent="0.25">
      <c r="X69" s="578"/>
      <c r="AJ69" s="367"/>
      <c r="AK69" s="367"/>
    </row>
    <row r="70" spans="2:37" x14ac:dyDescent="0.25">
      <c r="X70" s="578"/>
    </row>
    <row r="71" spans="2:37" x14ac:dyDescent="0.25">
      <c r="X71" s="578"/>
    </row>
    <row r="72" spans="2:37" ht="21" x14ac:dyDescent="0.35">
      <c r="X72" s="578"/>
      <c r="Z72" s="495" t="s">
        <v>1123</v>
      </c>
    </row>
    <row r="73" spans="2:37" x14ac:dyDescent="0.25">
      <c r="X73" s="578"/>
      <c r="AA73" s="496"/>
    </row>
    <row r="74" spans="2:37" x14ac:dyDescent="0.25">
      <c r="X74" s="578"/>
      <c r="AA74" s="11" t="s">
        <v>798</v>
      </c>
      <c r="AB74" s="8"/>
      <c r="AC74" s="8"/>
    </row>
    <row r="75" spans="2:37" x14ac:dyDescent="0.25">
      <c r="X75" s="578"/>
      <c r="AA75" t="s">
        <v>799</v>
      </c>
    </row>
    <row r="76" spans="2:37" x14ac:dyDescent="0.25">
      <c r="X76" s="578"/>
      <c r="AA76" s="132" t="s">
        <v>800</v>
      </c>
    </row>
    <row r="77" spans="2:37" x14ac:dyDescent="0.25">
      <c r="X77" s="578"/>
    </row>
    <row r="78" spans="2:37" x14ac:dyDescent="0.25">
      <c r="X78" s="578"/>
      <c r="AA78" t="s">
        <v>801</v>
      </c>
    </row>
    <row r="79" spans="2:37" x14ac:dyDescent="0.25">
      <c r="X79" s="578"/>
      <c r="AA79">
        <v>500</v>
      </c>
      <c r="AB79" t="s">
        <v>802</v>
      </c>
    </row>
    <row r="80" spans="2:37" x14ac:dyDescent="0.25">
      <c r="X80" s="578"/>
      <c r="AA80" t="s">
        <v>803</v>
      </c>
      <c r="AB80" t="s">
        <v>804</v>
      </c>
    </row>
    <row r="81" spans="24:28" x14ac:dyDescent="0.25">
      <c r="X81" s="578"/>
      <c r="AA81">
        <v>516</v>
      </c>
      <c r="AB81" t="s">
        <v>805</v>
      </c>
    </row>
    <row r="82" spans="24:28" x14ac:dyDescent="0.25">
      <c r="X82" s="578"/>
    </row>
    <row r="83" spans="24:28" x14ac:dyDescent="0.25">
      <c r="X83" s="578"/>
    </row>
    <row r="84" spans="24:28" x14ac:dyDescent="0.25">
      <c r="X84" s="578"/>
    </row>
    <row r="85" spans="24:28" x14ac:dyDescent="0.25">
      <c r="X85" s="578"/>
    </row>
    <row r="86" spans="24:28" x14ac:dyDescent="0.25">
      <c r="X86" s="578"/>
      <c r="AA86" s="367"/>
    </row>
    <row r="87" spans="24:28" x14ac:dyDescent="0.25">
      <c r="X87" s="578"/>
    </row>
    <row r="88" spans="24:28" x14ac:dyDescent="0.25">
      <c r="X88" s="578"/>
      <c r="AA88" s="497"/>
    </row>
    <row r="89" spans="24:28" x14ac:dyDescent="0.25">
      <c r="X89" s="578"/>
    </row>
    <row r="90" spans="24:28" x14ac:dyDescent="0.25">
      <c r="X90" s="578"/>
    </row>
    <row r="91" spans="24:28" x14ac:dyDescent="0.25">
      <c r="X91" s="578"/>
    </row>
    <row r="92" spans="24:28" x14ac:dyDescent="0.25">
      <c r="X92" s="578"/>
    </row>
    <row r="93" spans="24:28" x14ac:dyDescent="0.25">
      <c r="X93" s="578"/>
    </row>
    <row r="94" spans="24:28" x14ac:dyDescent="0.25">
      <c r="X94" s="578"/>
    </row>
    <row r="95" spans="24:28" x14ac:dyDescent="0.25">
      <c r="X95" s="578"/>
    </row>
    <row r="96" spans="24:28" x14ac:dyDescent="0.25">
      <c r="X96" s="578"/>
    </row>
    <row r="97" spans="2:33" x14ac:dyDescent="0.25">
      <c r="X97" s="578"/>
    </row>
    <row r="98" spans="2:33" x14ac:dyDescent="0.25">
      <c r="X98" s="578"/>
    </row>
    <row r="99" spans="2:33" x14ac:dyDescent="0.25">
      <c r="X99" s="578"/>
    </row>
    <row r="100" spans="2:33" x14ac:dyDescent="0.25">
      <c r="X100" s="578"/>
    </row>
    <row r="101" spans="2:33" x14ac:dyDescent="0.25">
      <c r="X101" s="578"/>
    </row>
    <row r="102" spans="2:33" ht="15.75" x14ac:dyDescent="0.25">
      <c r="B102" s="580" t="s">
        <v>1134</v>
      </c>
      <c r="X102" s="578"/>
    </row>
    <row r="103" spans="2:33" x14ac:dyDescent="0.25">
      <c r="X103" s="578"/>
      <c r="AA103" t="s">
        <v>806</v>
      </c>
    </row>
    <row r="104" spans="2:33" x14ac:dyDescent="0.25">
      <c r="X104" s="578"/>
    </row>
    <row r="105" spans="2:33" x14ac:dyDescent="0.25">
      <c r="B105" s="131"/>
      <c r="C105" s="150">
        <v>2020</v>
      </c>
      <c r="D105" s="150">
        <v>2030</v>
      </c>
      <c r="E105" s="150">
        <v>2050</v>
      </c>
      <c r="F105" s="150" t="s">
        <v>677</v>
      </c>
      <c r="G105" s="150" t="s">
        <v>427</v>
      </c>
      <c r="X105" s="578"/>
      <c r="AA105">
        <f>L6</f>
        <v>11.78</v>
      </c>
      <c r="AB105" t="s">
        <v>1132</v>
      </c>
    </row>
    <row r="106" spans="2:33" x14ac:dyDescent="0.25">
      <c r="B106" s="131" t="s">
        <v>1133</v>
      </c>
      <c r="C106" s="583">
        <f>AA109</f>
        <v>50654</v>
      </c>
      <c r="D106" s="583">
        <f>AB109</f>
        <v>33938.179999999993</v>
      </c>
      <c r="E106" s="583">
        <f>D106*(1-I106)</f>
        <v>30544.361999999994</v>
      </c>
      <c r="F106" s="131" t="s">
        <v>1154</v>
      </c>
      <c r="G106" s="591" t="s">
        <v>1127</v>
      </c>
      <c r="I106" s="529">
        <v>0.1</v>
      </c>
      <c r="X106" s="578"/>
      <c r="AA106" s="494">
        <f>AA81*AA105</f>
        <v>6078.48</v>
      </c>
      <c r="AB106" t="s">
        <v>808</v>
      </c>
      <c r="AF106">
        <v>9.1999999999999998E-3</v>
      </c>
      <c r="AG106" t="s">
        <v>143</v>
      </c>
    </row>
    <row r="107" spans="2:33" x14ac:dyDescent="0.25">
      <c r="B107" s="131" t="s">
        <v>745</v>
      </c>
      <c r="C107" s="131">
        <v>20</v>
      </c>
      <c r="D107" s="131"/>
      <c r="E107" s="131"/>
      <c r="F107" s="131" t="s">
        <v>759</v>
      </c>
      <c r="G107" s="131" t="s">
        <v>931</v>
      </c>
      <c r="H107" s="367"/>
      <c r="X107" s="578"/>
      <c r="AA107" s="349">
        <f>AA106/D2</f>
        <v>50.653999999999996</v>
      </c>
      <c r="AB107" t="s">
        <v>809</v>
      </c>
      <c r="AF107" s="426">
        <f>AF106*AB109</f>
        <v>312.23125599999992</v>
      </c>
      <c r="AG107" t="s">
        <v>810</v>
      </c>
    </row>
    <row r="108" spans="2:33" x14ac:dyDescent="0.25">
      <c r="B108" s="131" t="s">
        <v>1128</v>
      </c>
      <c r="C108" s="131">
        <f>AA117*3.6/D2</f>
        <v>3.0000000000000002E-2</v>
      </c>
      <c r="D108" s="131"/>
      <c r="E108" s="131"/>
      <c r="F108" s="131" t="s">
        <v>1155</v>
      </c>
      <c r="G108" s="131"/>
      <c r="X108" s="578"/>
      <c r="AA108" s="136">
        <v>2020</v>
      </c>
      <c r="AB108" s="136">
        <v>2030</v>
      </c>
    </row>
    <row r="109" spans="2:33" x14ac:dyDescent="0.25">
      <c r="B109" s="131" t="s">
        <v>1025</v>
      </c>
      <c r="C109" s="583">
        <f>$I$109*C106</f>
        <v>506.54</v>
      </c>
      <c r="D109" s="583">
        <f>$I$109*D106</f>
        <v>339.38179999999994</v>
      </c>
      <c r="E109" s="583">
        <f>$I$109*E106</f>
        <v>305.44361999999995</v>
      </c>
      <c r="F109" s="131" t="s">
        <v>989</v>
      </c>
      <c r="G109" s="131" t="s">
        <v>1156</v>
      </c>
      <c r="I109" s="529">
        <v>0.01</v>
      </c>
      <c r="X109" s="578"/>
      <c r="AA109" s="498">
        <f>AA107*1000000000/1000000</f>
        <v>50654</v>
      </c>
      <c r="AB109" s="499">
        <f>AA109*(1-AA110)</f>
        <v>33938.179999999993</v>
      </c>
      <c r="AC109" s="136" t="s">
        <v>811</v>
      </c>
      <c r="AF109" s="397"/>
    </row>
    <row r="110" spans="2:33" x14ac:dyDescent="0.25">
      <c r="B110" s="131" t="s">
        <v>791</v>
      </c>
      <c r="C110" s="584">
        <v>0.99</v>
      </c>
      <c r="D110" s="131"/>
      <c r="E110" s="131"/>
      <c r="F110" s="131"/>
      <c r="G110" s="585"/>
      <c r="X110" s="578"/>
      <c r="AA110" s="367">
        <v>0.33</v>
      </c>
      <c r="AB110" t="s">
        <v>812</v>
      </c>
    </row>
    <row r="111" spans="2:33" x14ac:dyDescent="0.25">
      <c r="X111" s="578"/>
      <c r="AF111" s="497"/>
    </row>
    <row r="112" spans="2:33" x14ac:dyDescent="0.25">
      <c r="X112" s="578"/>
    </row>
    <row r="113" spans="2:39" x14ac:dyDescent="0.25">
      <c r="X113" s="578"/>
      <c r="AA113" s="136" t="s">
        <v>798</v>
      </c>
    </row>
    <row r="114" spans="2:39" x14ac:dyDescent="0.25">
      <c r="X114" s="578"/>
      <c r="AA114" t="s">
        <v>813</v>
      </c>
    </row>
    <row r="115" spans="2:39" x14ac:dyDescent="0.25">
      <c r="X115" s="578"/>
      <c r="AA115" s="132" t="s">
        <v>814</v>
      </c>
    </row>
    <row r="116" spans="2:39" x14ac:dyDescent="0.25">
      <c r="X116" s="578"/>
      <c r="AA116" t="s">
        <v>993</v>
      </c>
    </row>
    <row r="117" spans="2:39" x14ac:dyDescent="0.25">
      <c r="X117" s="578"/>
      <c r="AA117">
        <v>1</v>
      </c>
      <c r="AB117" t="s">
        <v>994</v>
      </c>
    </row>
    <row r="118" spans="2:39" x14ac:dyDescent="0.25">
      <c r="X118" s="578"/>
      <c r="AB118" t="s">
        <v>996</v>
      </c>
    </row>
    <row r="119" spans="2:39" x14ac:dyDescent="0.25">
      <c r="X119" s="578"/>
    </row>
    <row r="120" spans="2:39" ht="21" x14ac:dyDescent="0.35">
      <c r="B120" s="580" t="s">
        <v>1140</v>
      </c>
      <c r="X120" s="578"/>
      <c r="Z120" s="495" t="s">
        <v>1125</v>
      </c>
    </row>
    <row r="121" spans="2:39" ht="21" x14ac:dyDescent="0.35">
      <c r="X121" s="578"/>
      <c r="Z121" s="495"/>
    </row>
    <row r="122" spans="2:39" x14ac:dyDescent="0.25">
      <c r="B122" s="131"/>
      <c r="C122" s="131"/>
      <c r="D122" s="150" t="s">
        <v>1152</v>
      </c>
      <c r="E122" s="150" t="s">
        <v>677</v>
      </c>
      <c r="F122" s="150" t="s">
        <v>1153</v>
      </c>
      <c r="X122" s="578"/>
      <c r="AA122" s="500" t="s">
        <v>815</v>
      </c>
      <c r="AB122" s="500"/>
      <c r="AC122" s="500"/>
      <c r="AD122" s="500"/>
    </row>
    <row r="123" spans="2:39" x14ac:dyDescent="0.25">
      <c r="B123" s="131" t="s">
        <v>779</v>
      </c>
      <c r="C123" s="131" t="s">
        <v>1118</v>
      </c>
      <c r="D123" s="389">
        <f>AK131*R3*L6</f>
        <v>3115.81</v>
      </c>
      <c r="E123" s="131" t="s">
        <v>1146</v>
      </c>
      <c r="F123" s="131"/>
      <c r="X123" s="578"/>
      <c r="AA123" t="s">
        <v>816</v>
      </c>
    </row>
    <row r="124" spans="2:39" x14ac:dyDescent="0.25">
      <c r="B124" s="131"/>
      <c r="C124" s="131" t="s">
        <v>1141</v>
      </c>
      <c r="D124" s="389">
        <f>'AMSA reports'!O13/2</f>
        <v>725.14525500322793</v>
      </c>
      <c r="E124" s="131" t="s">
        <v>484</v>
      </c>
      <c r="F124" s="131" t="s">
        <v>1147</v>
      </c>
      <c r="X124" s="578"/>
      <c r="AA124" t="s">
        <v>817</v>
      </c>
      <c r="AH124" t="s">
        <v>818</v>
      </c>
    </row>
    <row r="125" spans="2:39" x14ac:dyDescent="0.25">
      <c r="B125" s="131"/>
      <c r="C125" s="131" t="s">
        <v>829</v>
      </c>
      <c r="D125" s="389">
        <f>D123*H125</f>
        <v>155.79050000000001</v>
      </c>
      <c r="E125" s="131" t="s">
        <v>484</v>
      </c>
      <c r="F125" s="131" t="s">
        <v>1157</v>
      </c>
      <c r="H125" s="529">
        <v>0.05</v>
      </c>
      <c r="X125" s="578"/>
      <c r="AH125" t="s">
        <v>819</v>
      </c>
      <c r="AI125">
        <v>1.1499999999999999</v>
      </c>
      <c r="AJ125" t="s">
        <v>820</v>
      </c>
      <c r="AK125" s="132" t="s">
        <v>821</v>
      </c>
    </row>
    <row r="126" spans="2:39" ht="21" x14ac:dyDescent="0.35">
      <c r="B126" s="131"/>
      <c r="C126" s="131" t="s">
        <v>745</v>
      </c>
      <c r="D126" s="131">
        <v>20</v>
      </c>
      <c r="E126" s="131" t="s">
        <v>747</v>
      </c>
      <c r="F126" s="131"/>
      <c r="X126" s="578"/>
      <c r="Z126" s="495"/>
    </row>
    <row r="127" spans="2:39" ht="21" x14ac:dyDescent="0.35">
      <c r="B127" s="131" t="s">
        <v>836</v>
      </c>
      <c r="C127" s="131" t="s">
        <v>1142</v>
      </c>
      <c r="D127" s="581">
        <f>AK137/1000</f>
        <v>1.504</v>
      </c>
      <c r="E127" s="131" t="s">
        <v>1144</v>
      </c>
      <c r="F127" s="131"/>
      <c r="X127" s="578"/>
      <c r="Z127" s="495"/>
    </row>
    <row r="128" spans="2:39" ht="21" x14ac:dyDescent="0.35">
      <c r="B128" s="131"/>
      <c r="C128" s="131" t="s">
        <v>841</v>
      </c>
      <c r="D128" s="131">
        <f>AK136*D2*1000000/1000000000</f>
        <v>6.12</v>
      </c>
      <c r="E128" s="131" t="s">
        <v>1145</v>
      </c>
      <c r="F128" s="131"/>
      <c r="X128" s="578"/>
      <c r="Z128" s="501"/>
      <c r="AA128" s="11" t="s">
        <v>822</v>
      </c>
      <c r="AB128" s="11"/>
      <c r="AC128" s="11"/>
      <c r="AD128" s="502"/>
      <c r="AE128" s="11" t="s">
        <v>1</v>
      </c>
      <c r="AF128" s="11"/>
      <c r="AG128" s="11"/>
      <c r="AH128" s="502"/>
      <c r="AI128" s="11" t="s">
        <v>823</v>
      </c>
      <c r="AJ128" s="8"/>
      <c r="AK128" s="8"/>
      <c r="AL128" s="8"/>
      <c r="AM128" s="8"/>
    </row>
    <row r="129" spans="2:44" x14ac:dyDescent="0.25">
      <c r="B129" s="131"/>
      <c r="C129" s="131" t="s">
        <v>1143</v>
      </c>
      <c r="D129" s="582">
        <f>AE216*3.6/1.5</f>
        <v>0.74400000000000022</v>
      </c>
      <c r="E129" s="582" t="s">
        <v>1145</v>
      </c>
      <c r="F129" s="131"/>
      <c r="X129" s="578"/>
      <c r="Z129" s="5"/>
      <c r="AD129" s="5"/>
      <c r="AH129" s="5"/>
      <c r="AO129" t="s">
        <v>824</v>
      </c>
    </row>
    <row r="130" spans="2:44" x14ac:dyDescent="0.25">
      <c r="X130" s="578"/>
      <c r="Z130" s="5"/>
      <c r="AA130" t="s">
        <v>677</v>
      </c>
      <c r="AD130" s="5" t="s">
        <v>825</v>
      </c>
      <c r="AE130" t="s">
        <v>145</v>
      </c>
      <c r="AH130" s="5" t="s">
        <v>825</v>
      </c>
      <c r="AI130" t="s">
        <v>145</v>
      </c>
      <c r="AO130">
        <v>120</v>
      </c>
      <c r="AP130" t="s">
        <v>435</v>
      </c>
    </row>
    <row r="131" spans="2:44" x14ac:dyDescent="0.25">
      <c r="X131" s="578"/>
      <c r="Z131" s="3" t="s">
        <v>773</v>
      </c>
      <c r="AA131" s="16" t="s">
        <v>826</v>
      </c>
      <c r="AB131" s="16"/>
      <c r="AC131" s="503">
        <v>0.58499999999999996</v>
      </c>
      <c r="AD131" s="3" t="s">
        <v>827</v>
      </c>
      <c r="AE131" s="504" t="s">
        <v>828</v>
      </c>
      <c r="AF131" s="16"/>
      <c r="AG131" s="503">
        <v>184</v>
      </c>
      <c r="AH131" s="3"/>
      <c r="AI131" s="504" t="s">
        <v>828</v>
      </c>
      <c r="AJ131" s="16"/>
      <c r="AK131" s="503">
        <v>230</v>
      </c>
      <c r="AL131" s="16"/>
      <c r="AM131" s="16"/>
    </row>
    <row r="132" spans="2:44" x14ac:dyDescent="0.25">
      <c r="X132" s="578"/>
      <c r="Z132" s="505" t="s">
        <v>829</v>
      </c>
      <c r="AA132" s="504" t="s">
        <v>830</v>
      </c>
      <c r="AB132" s="504"/>
      <c r="AC132" s="506">
        <v>0.03</v>
      </c>
      <c r="AD132" s="505"/>
      <c r="AE132" s="504" t="s">
        <v>830</v>
      </c>
      <c r="AF132" s="504"/>
      <c r="AG132" s="506">
        <v>0.03</v>
      </c>
      <c r="AH132" s="505"/>
      <c r="AI132" s="504" t="s">
        <v>831</v>
      </c>
      <c r="AJ132" s="504"/>
      <c r="AK132" s="506">
        <v>0.03</v>
      </c>
      <c r="AL132" s="504"/>
      <c r="AM132" s="504"/>
    </row>
    <row r="133" spans="2:44" ht="15.75" x14ac:dyDescent="0.25">
      <c r="B133" s="580" t="s">
        <v>373</v>
      </c>
      <c r="D133" s="136"/>
      <c r="E133" s="136"/>
      <c r="F133" s="136"/>
      <c r="X133" s="578"/>
      <c r="Z133" s="5" t="s">
        <v>703</v>
      </c>
      <c r="AD133" s="5"/>
      <c r="AE133" t="s">
        <v>828</v>
      </c>
      <c r="AG133">
        <v>53</v>
      </c>
      <c r="AH133" s="5" t="s">
        <v>832</v>
      </c>
    </row>
    <row r="134" spans="2:44" x14ac:dyDescent="0.25">
      <c r="B134" s="131"/>
      <c r="C134" s="131"/>
      <c r="D134" s="150" t="s">
        <v>1152</v>
      </c>
      <c r="E134" s="150" t="s">
        <v>677</v>
      </c>
      <c r="F134" s="150" t="s">
        <v>1153</v>
      </c>
      <c r="X134" s="578"/>
      <c r="Z134" s="5" t="s">
        <v>833</v>
      </c>
      <c r="AD134" s="5"/>
      <c r="AE134" s="504" t="s">
        <v>828</v>
      </c>
      <c r="AG134">
        <v>8</v>
      </c>
      <c r="AH134" s="5" t="s">
        <v>834</v>
      </c>
      <c r="AO134" s="15" t="s">
        <v>835</v>
      </c>
      <c r="AP134" s="16"/>
      <c r="AQ134" s="16"/>
      <c r="AR134" s="3"/>
    </row>
    <row r="135" spans="2:44" x14ac:dyDescent="0.25">
      <c r="B135" s="131" t="s">
        <v>779</v>
      </c>
      <c r="C135" s="131" t="s">
        <v>1118</v>
      </c>
      <c r="D135" s="583">
        <f>AG131*AI125*L6</f>
        <v>2492.6479999999997</v>
      </c>
      <c r="E135" s="131" t="s">
        <v>1148</v>
      </c>
      <c r="F135" s="131"/>
      <c r="X135" s="578"/>
      <c r="Z135" s="9" t="s">
        <v>836</v>
      </c>
      <c r="AA135" s="8"/>
      <c r="AB135" s="8"/>
      <c r="AC135" s="8"/>
      <c r="AD135" s="9"/>
      <c r="AE135" s="8"/>
      <c r="AF135" s="8"/>
      <c r="AG135" s="8"/>
      <c r="AH135" s="9"/>
      <c r="AI135" s="8"/>
      <c r="AJ135" s="8"/>
      <c r="AK135" s="8"/>
      <c r="AL135" s="8"/>
      <c r="AM135" s="8"/>
      <c r="AO135" s="4" t="s">
        <v>837</v>
      </c>
      <c r="AR135" s="5"/>
    </row>
    <row r="136" spans="2:44" x14ac:dyDescent="0.25">
      <c r="B136" s="131"/>
      <c r="C136" s="131" t="s">
        <v>1141</v>
      </c>
      <c r="D136" s="583">
        <f>D124</f>
        <v>725.14525500322793</v>
      </c>
      <c r="E136" s="131" t="s">
        <v>1149</v>
      </c>
      <c r="F136" s="131" t="s">
        <v>1150</v>
      </c>
      <c r="X136" s="578"/>
      <c r="Z136" s="5"/>
      <c r="AB136" t="s">
        <v>234</v>
      </c>
      <c r="AD136" s="5"/>
      <c r="AE136" t="s">
        <v>838</v>
      </c>
      <c r="AF136" t="s">
        <v>839</v>
      </c>
      <c r="AG136" s="507">
        <f>AG142*AO140</f>
        <v>1</v>
      </c>
      <c r="AH136" s="5"/>
      <c r="AI136" t="s">
        <v>840</v>
      </c>
      <c r="AJ136" t="s">
        <v>841</v>
      </c>
      <c r="AK136" s="500">
        <v>51</v>
      </c>
      <c r="AL136" t="s">
        <v>842</v>
      </c>
      <c r="AM136">
        <f>AK136/(AK137/1000)</f>
        <v>33.909574468085104</v>
      </c>
      <c r="AN136" t="s">
        <v>843</v>
      </c>
      <c r="AO136" s="4">
        <v>0</v>
      </c>
      <c r="AP136">
        <v>1</v>
      </c>
      <c r="AQ136" t="s">
        <v>844</v>
      </c>
      <c r="AR136" s="5"/>
    </row>
    <row r="137" spans="2:44" x14ac:dyDescent="0.25">
      <c r="B137" s="131"/>
      <c r="C137" s="131" t="s">
        <v>829</v>
      </c>
      <c r="D137" s="583">
        <f>D135*$F$137</f>
        <v>124.63239999999999</v>
      </c>
      <c r="E137" s="131" t="s">
        <v>1149</v>
      </c>
      <c r="F137" s="529">
        <v>0.05</v>
      </c>
      <c r="X137" s="578"/>
      <c r="Z137" s="5"/>
      <c r="AA137" t="s">
        <v>143</v>
      </c>
      <c r="AB137" t="s">
        <v>14</v>
      </c>
      <c r="AC137">
        <f>AC142/AC146</f>
        <v>1.3888888888888888</v>
      </c>
      <c r="AD137" s="5" t="s">
        <v>845</v>
      </c>
      <c r="AE137" t="s">
        <v>846</v>
      </c>
      <c r="AF137" t="s">
        <v>14</v>
      </c>
      <c r="AG137">
        <f>AO137+AO140*AP138</f>
        <v>0.753</v>
      </c>
      <c r="AH137" s="5" t="s">
        <v>847</v>
      </c>
      <c r="AI137" t="s">
        <v>840</v>
      </c>
      <c r="AJ137" t="s">
        <v>247</v>
      </c>
      <c r="AK137" s="500">
        <v>1504</v>
      </c>
      <c r="AL137" s="508"/>
      <c r="AO137" s="509">
        <v>0.66700000000000004</v>
      </c>
      <c r="AP137" s="500">
        <v>0.753</v>
      </c>
      <c r="AQ137" t="s">
        <v>846</v>
      </c>
      <c r="AR137" s="5"/>
    </row>
    <row r="138" spans="2:44" x14ac:dyDescent="0.25">
      <c r="B138" s="131"/>
      <c r="C138" s="131" t="s">
        <v>745</v>
      </c>
      <c r="D138" s="131">
        <v>20</v>
      </c>
      <c r="E138" s="131" t="s">
        <v>747</v>
      </c>
      <c r="F138" s="131" t="s">
        <v>1151</v>
      </c>
      <c r="X138" s="578"/>
      <c r="Z138" s="5"/>
      <c r="AD138" s="5"/>
      <c r="AE138" t="s">
        <v>840</v>
      </c>
      <c r="AF138" t="s">
        <v>848</v>
      </c>
      <c r="AG138" s="500">
        <v>50</v>
      </c>
      <c r="AH138" s="5"/>
      <c r="AI138" t="s">
        <v>849</v>
      </c>
      <c r="AJ138" t="s">
        <v>14</v>
      </c>
      <c r="AK138" s="500">
        <v>140</v>
      </c>
      <c r="AO138" s="7"/>
      <c r="AP138" s="8">
        <f>AP137-AO137</f>
        <v>8.5999999999999965E-2</v>
      </c>
      <c r="AQ138" s="8" t="s">
        <v>850</v>
      </c>
      <c r="AR138" s="9"/>
    </row>
    <row r="139" spans="2:44" x14ac:dyDescent="0.25">
      <c r="B139" s="131" t="s">
        <v>780</v>
      </c>
      <c r="C139" s="131" t="s">
        <v>20</v>
      </c>
      <c r="D139" s="131">
        <f>AG136</f>
        <v>1</v>
      </c>
      <c r="E139" s="131" t="s">
        <v>190</v>
      </c>
      <c r="F139" s="131"/>
      <c r="X139" s="578"/>
      <c r="Z139" s="5"/>
      <c r="AD139" s="5"/>
      <c r="AE139" t="s">
        <v>838</v>
      </c>
      <c r="AF139" t="s">
        <v>851</v>
      </c>
      <c r="AG139" s="507">
        <f>AG136*(1-AO140)/AO140</f>
        <v>0</v>
      </c>
      <c r="AH139" s="5" t="s">
        <v>852</v>
      </c>
    </row>
    <row r="140" spans="2:44" x14ac:dyDescent="0.25">
      <c r="B140" s="131"/>
      <c r="C140" s="131" t="s">
        <v>14</v>
      </c>
      <c r="D140" s="581">
        <f>AG137*1000000*J140</f>
        <v>2.7107999999999999</v>
      </c>
      <c r="E140" s="131" t="s">
        <v>543</v>
      </c>
      <c r="F140" s="131"/>
      <c r="I140" t="s">
        <v>895</v>
      </c>
      <c r="J140">
        <f>1000000*3600/1000000000000000</f>
        <v>3.5999999999999998E-6</v>
      </c>
      <c r="K140" t="s">
        <v>896</v>
      </c>
      <c r="X140" s="578"/>
      <c r="Z140" s="5"/>
      <c r="AD140" s="5"/>
      <c r="AH140" s="5"/>
      <c r="AO140" s="510">
        <f>'[16]Facility technicals and LCOE'!$H$6</f>
        <v>1</v>
      </c>
      <c r="AP140" s="507" t="s">
        <v>853</v>
      </c>
      <c r="AQ140" s="507"/>
      <c r="AR140" s="507"/>
    </row>
    <row r="141" spans="2:44" x14ac:dyDescent="0.25">
      <c r="B141" s="131" t="s">
        <v>394</v>
      </c>
      <c r="C141" s="614" t="s">
        <v>1180</v>
      </c>
      <c r="D141" s="131">
        <v>0.08</v>
      </c>
      <c r="E141" s="614" t="s">
        <v>1253</v>
      </c>
      <c r="F141" s="614" t="s">
        <v>1254</v>
      </c>
      <c r="X141" s="578"/>
      <c r="Z141" s="9" t="s">
        <v>854</v>
      </c>
      <c r="AA141" s="8"/>
      <c r="AB141" s="8"/>
      <c r="AC141" s="8"/>
      <c r="AD141" s="9"/>
      <c r="AE141" s="8"/>
      <c r="AF141" s="8"/>
      <c r="AG141" s="8"/>
      <c r="AH141" s="9"/>
      <c r="AI141" s="8"/>
      <c r="AJ141" s="8"/>
      <c r="AK141" s="8"/>
      <c r="AL141" s="8"/>
      <c r="AM141" s="8"/>
    </row>
    <row r="142" spans="2:44" x14ac:dyDescent="0.25">
      <c r="X142" s="578"/>
      <c r="Z142" s="5"/>
      <c r="AA142" t="s">
        <v>143</v>
      </c>
      <c r="AB142" t="s">
        <v>841</v>
      </c>
      <c r="AC142" s="507">
        <v>1</v>
      </c>
      <c r="AD142" s="5"/>
      <c r="AE142" t="s">
        <v>855</v>
      </c>
      <c r="AF142" t="s">
        <v>856</v>
      </c>
      <c r="AG142" s="507">
        <v>1</v>
      </c>
      <c r="AH142" s="5"/>
      <c r="AI142" t="s">
        <v>857</v>
      </c>
      <c r="AJ142" t="s">
        <v>839</v>
      </c>
      <c r="AK142" s="507">
        <v>1000</v>
      </c>
      <c r="AO142" t="s">
        <v>858</v>
      </c>
      <c r="AP142">
        <v>1.5</v>
      </c>
      <c r="AQ142" t="s">
        <v>859</v>
      </c>
    </row>
    <row r="143" spans="2:44" x14ac:dyDescent="0.25">
      <c r="X143" s="578"/>
      <c r="Z143" s="5"/>
      <c r="AB143" t="s">
        <v>690</v>
      </c>
      <c r="AD143" s="5"/>
      <c r="AH143" s="5"/>
      <c r="AI143" t="s">
        <v>857</v>
      </c>
      <c r="AJ143" t="s">
        <v>841</v>
      </c>
    </row>
    <row r="144" spans="2:44" x14ac:dyDescent="0.25">
      <c r="X144" s="578"/>
      <c r="Z144" s="5"/>
      <c r="AA144" t="s">
        <v>857</v>
      </c>
      <c r="AB144" t="s">
        <v>841</v>
      </c>
      <c r="AD144" s="5"/>
      <c r="AH144" s="5"/>
      <c r="AJ144" t="s">
        <v>234</v>
      </c>
    </row>
    <row r="145" spans="2:41" x14ac:dyDescent="0.25">
      <c r="X145" s="578"/>
      <c r="Z145" s="9"/>
      <c r="AA145" s="8"/>
      <c r="AB145" s="8" t="s">
        <v>690</v>
      </c>
      <c r="AC145" s="8"/>
      <c r="AD145" s="9"/>
      <c r="AE145" s="8"/>
      <c r="AF145" s="8"/>
      <c r="AG145" s="8"/>
      <c r="AH145" s="9"/>
      <c r="AI145" s="8"/>
      <c r="AJ145" s="8"/>
      <c r="AK145" s="8"/>
      <c r="AL145" s="8"/>
      <c r="AM145" s="8"/>
      <c r="AN145">
        <f>AG137*1000000*3600/1000000</f>
        <v>2710.8</v>
      </c>
      <c r="AO145" t="s">
        <v>860</v>
      </c>
    </row>
    <row r="146" spans="2:41" x14ac:dyDescent="0.25">
      <c r="X146" s="578"/>
      <c r="Z146" s="5" t="s">
        <v>791</v>
      </c>
      <c r="AB146" t="s">
        <v>861</v>
      </c>
      <c r="AC146" s="511">
        <v>0.72</v>
      </c>
      <c r="AD146" s="5" t="s">
        <v>862</v>
      </c>
      <c r="AH146" s="5"/>
      <c r="AN146">
        <f>AN145/1000</f>
        <v>2.7108000000000003</v>
      </c>
      <c r="AO146" t="s">
        <v>149</v>
      </c>
    </row>
    <row r="147" spans="2:41" x14ac:dyDescent="0.25">
      <c r="X147" s="578"/>
      <c r="Z147" s="5" t="s">
        <v>745</v>
      </c>
      <c r="AA147" t="s">
        <v>747</v>
      </c>
      <c r="AC147">
        <v>10</v>
      </c>
      <c r="AD147" s="5"/>
      <c r="AE147" t="s">
        <v>759</v>
      </c>
      <c r="AG147">
        <v>20</v>
      </c>
      <c r="AH147" s="5"/>
      <c r="AI147" t="s">
        <v>759</v>
      </c>
      <c r="AK147">
        <v>20</v>
      </c>
    </row>
    <row r="148" spans="2:41" x14ac:dyDescent="0.25">
      <c r="B148" s="136" t="s">
        <v>1542</v>
      </c>
      <c r="X148" s="578"/>
    </row>
    <row r="149" spans="2:41" x14ac:dyDescent="0.25">
      <c r="X149" s="578"/>
      <c r="AK149" s="512"/>
    </row>
    <row r="150" spans="2:41" x14ac:dyDescent="0.25">
      <c r="B150" t="s">
        <v>1543</v>
      </c>
      <c r="D150">
        <f>AA241</f>
        <v>342.83333333333331</v>
      </c>
      <c r="E150" t="str">
        <f>AB241</f>
        <v>$/tonne in 2019</v>
      </c>
      <c r="H150">
        <v>11.915367840506187</v>
      </c>
      <c r="I150" t="s">
        <v>1544</v>
      </c>
      <c r="X150" s="578"/>
    </row>
    <row r="151" spans="2:41" x14ac:dyDescent="0.25">
      <c r="D151" s="133">
        <f>D150*$H$150</f>
        <v>4084.9852746535375</v>
      </c>
      <c r="E151" s="133" t="s">
        <v>1545</v>
      </c>
      <c r="X151" s="578"/>
    </row>
    <row r="152" spans="2:41" x14ac:dyDescent="0.25">
      <c r="X152" s="578"/>
      <c r="AO152" s="512"/>
    </row>
    <row r="153" spans="2:41" x14ac:dyDescent="0.25">
      <c r="X153" s="578"/>
    </row>
    <row r="154" spans="2:41" x14ac:dyDescent="0.25">
      <c r="X154" s="578"/>
    </row>
    <row r="155" spans="2:41" x14ac:dyDescent="0.25">
      <c r="X155" s="578"/>
    </row>
    <row r="156" spans="2:41" x14ac:dyDescent="0.25">
      <c r="X156" s="578"/>
    </row>
    <row r="157" spans="2:41" x14ac:dyDescent="0.25">
      <c r="X157" s="578"/>
    </row>
    <row r="158" spans="2:41" x14ac:dyDescent="0.25">
      <c r="X158" s="578"/>
    </row>
    <row r="159" spans="2:41" x14ac:dyDescent="0.25">
      <c r="X159" s="578"/>
    </row>
    <row r="160" spans="2:41" x14ac:dyDescent="0.25">
      <c r="X160" s="578"/>
    </row>
    <row r="161" spans="24:24" x14ac:dyDescent="0.25">
      <c r="X161" s="578"/>
    </row>
    <row r="162" spans="24:24" x14ac:dyDescent="0.25">
      <c r="X162" s="578"/>
    </row>
    <row r="163" spans="24:24" x14ac:dyDescent="0.25">
      <c r="X163" s="578"/>
    </row>
    <row r="164" spans="24:24" x14ac:dyDescent="0.25">
      <c r="X164" s="578"/>
    </row>
    <row r="165" spans="24:24" x14ac:dyDescent="0.25">
      <c r="X165" s="578"/>
    </row>
    <row r="166" spans="24:24" x14ac:dyDescent="0.25">
      <c r="X166" s="578"/>
    </row>
    <row r="167" spans="24:24" x14ac:dyDescent="0.25">
      <c r="X167" s="578"/>
    </row>
    <row r="168" spans="24:24" x14ac:dyDescent="0.25">
      <c r="X168" s="578"/>
    </row>
    <row r="169" spans="24:24" x14ac:dyDescent="0.25">
      <c r="X169" s="578"/>
    </row>
    <row r="170" spans="24:24" x14ac:dyDescent="0.25">
      <c r="X170" s="578"/>
    </row>
    <row r="171" spans="24:24" x14ac:dyDescent="0.25">
      <c r="X171" s="578"/>
    </row>
    <row r="172" spans="24:24" x14ac:dyDescent="0.25">
      <c r="X172" s="578"/>
    </row>
    <row r="173" spans="24:24" x14ac:dyDescent="0.25">
      <c r="X173" s="578"/>
    </row>
    <row r="174" spans="24:24" x14ac:dyDescent="0.25">
      <c r="X174" s="578"/>
    </row>
    <row r="175" spans="24:24" x14ac:dyDescent="0.25">
      <c r="X175" s="578"/>
    </row>
    <row r="176" spans="24:24" x14ac:dyDescent="0.25">
      <c r="X176" s="578"/>
    </row>
    <row r="177" spans="24:33" x14ac:dyDescent="0.25">
      <c r="X177" s="578"/>
    </row>
    <row r="178" spans="24:33" x14ac:dyDescent="0.25">
      <c r="X178" s="578"/>
    </row>
    <row r="179" spans="24:33" x14ac:dyDescent="0.25">
      <c r="X179" s="578"/>
    </row>
    <row r="180" spans="24:33" x14ac:dyDescent="0.25">
      <c r="X180" s="578"/>
    </row>
    <row r="181" spans="24:33" x14ac:dyDescent="0.25">
      <c r="X181" s="578"/>
      <c r="AB181" t="s">
        <v>888</v>
      </c>
      <c r="AC181" t="s">
        <v>889</v>
      </c>
    </row>
    <row r="182" spans="24:33" x14ac:dyDescent="0.25">
      <c r="X182" s="578"/>
      <c r="AA182" t="s">
        <v>195</v>
      </c>
      <c r="AB182">
        <v>100</v>
      </c>
      <c r="AC182">
        <v>175</v>
      </c>
      <c r="AD182">
        <v>175</v>
      </c>
      <c r="AE182" s="488">
        <f>AD182*'[16]Facility technicals and LCOE'!$D$4</f>
        <v>3500</v>
      </c>
      <c r="AF182">
        <f>235-175</f>
        <v>60</v>
      </c>
    </row>
    <row r="183" spans="24:33" x14ac:dyDescent="0.25">
      <c r="X183" s="578"/>
      <c r="AA183" t="s">
        <v>890</v>
      </c>
      <c r="AB183">
        <v>100</v>
      </c>
      <c r="AC183">
        <v>235</v>
      </c>
      <c r="AD183">
        <f>AC183-AC182</f>
        <v>60</v>
      </c>
      <c r="AE183" s="488">
        <f>AD183*'[16]Facility technicals and LCOE'!$D$4</f>
        <v>1200</v>
      </c>
      <c r="AG183" t="s">
        <v>1124</v>
      </c>
    </row>
    <row r="184" spans="24:33" x14ac:dyDescent="0.25">
      <c r="X184" s="578"/>
      <c r="AA184" t="s">
        <v>891</v>
      </c>
      <c r="AB184">
        <v>100</v>
      </c>
      <c r="AC184">
        <v>350</v>
      </c>
      <c r="AD184">
        <f>AC184-AC183</f>
        <v>115</v>
      </c>
      <c r="AE184" s="488">
        <f>AD184*'[16]Facility technicals and LCOE'!$D$4</f>
        <v>2300</v>
      </c>
    </row>
    <row r="185" spans="24:33" x14ac:dyDescent="0.25">
      <c r="X185" s="578"/>
      <c r="AA185" t="s">
        <v>892</v>
      </c>
      <c r="AB185">
        <v>100</v>
      </c>
      <c r="AC185">
        <v>590</v>
      </c>
      <c r="AD185">
        <f>AC185-AC184</f>
        <v>240</v>
      </c>
      <c r="AE185" s="488">
        <f>AD185*'[16]Facility technicals and LCOE'!$D$4</f>
        <v>4800</v>
      </c>
    </row>
    <row r="186" spans="24:33" x14ac:dyDescent="0.25">
      <c r="X186" s="578"/>
      <c r="AA186" t="s">
        <v>893</v>
      </c>
      <c r="AB186">
        <v>100</v>
      </c>
      <c r="AC186">
        <v>650</v>
      </c>
      <c r="AD186">
        <f>AC186-AC185</f>
        <v>60</v>
      </c>
      <c r="AE186" s="488">
        <f>AD186*'[16]Facility technicals and LCOE'!$D$4</f>
        <v>1200</v>
      </c>
    </row>
    <row r="187" spans="24:33" x14ac:dyDescent="0.25">
      <c r="X187" s="578"/>
    </row>
    <row r="188" spans="24:33" x14ac:dyDescent="0.25">
      <c r="X188" s="578"/>
    </row>
    <row r="189" spans="24:33" x14ac:dyDescent="0.25">
      <c r="X189" s="578"/>
    </row>
    <row r="190" spans="24:33" x14ac:dyDescent="0.25">
      <c r="X190" s="578"/>
    </row>
    <row r="191" spans="24:33" x14ac:dyDescent="0.25">
      <c r="X191" s="578"/>
    </row>
    <row r="192" spans="24:33" x14ac:dyDescent="0.25">
      <c r="X192" s="578"/>
    </row>
    <row r="193" spans="24:24" x14ac:dyDescent="0.25">
      <c r="X193" s="578"/>
    </row>
    <row r="194" spans="24:24" x14ac:dyDescent="0.25">
      <c r="X194" s="578"/>
    </row>
    <row r="195" spans="24:24" x14ac:dyDescent="0.25">
      <c r="X195" s="578"/>
    </row>
    <row r="196" spans="24:24" x14ac:dyDescent="0.25">
      <c r="X196" s="578"/>
    </row>
    <row r="197" spans="24:24" x14ac:dyDescent="0.25">
      <c r="X197" s="578"/>
    </row>
    <row r="198" spans="24:24" x14ac:dyDescent="0.25">
      <c r="X198" s="578"/>
    </row>
    <row r="199" spans="24:24" x14ac:dyDescent="0.25">
      <c r="X199" s="578"/>
    </row>
    <row r="200" spans="24:24" x14ac:dyDescent="0.25">
      <c r="X200" s="578"/>
    </row>
    <row r="201" spans="24:24" x14ac:dyDescent="0.25">
      <c r="X201" s="578"/>
    </row>
    <row r="202" spans="24:24" x14ac:dyDescent="0.25">
      <c r="X202" s="578"/>
    </row>
    <row r="203" spans="24:24" x14ac:dyDescent="0.25">
      <c r="X203" s="578"/>
    </row>
    <row r="204" spans="24:24" x14ac:dyDescent="0.25">
      <c r="X204" s="578"/>
    </row>
    <row r="205" spans="24:24" x14ac:dyDescent="0.25">
      <c r="X205" s="578"/>
    </row>
    <row r="206" spans="24:24" x14ac:dyDescent="0.25">
      <c r="X206" s="578"/>
    </row>
    <row r="207" spans="24:24" x14ac:dyDescent="0.25">
      <c r="X207" s="578"/>
    </row>
    <row r="208" spans="24:24" x14ac:dyDescent="0.25">
      <c r="X208" s="578"/>
    </row>
    <row r="209" spans="24:40" x14ac:dyDescent="0.25">
      <c r="X209" s="578"/>
      <c r="AB209" t="s">
        <v>870</v>
      </c>
    </row>
    <row r="210" spans="24:40" x14ac:dyDescent="0.25">
      <c r="X210" s="578"/>
      <c r="AB210" t="s">
        <v>875</v>
      </c>
      <c r="AC210" s="367" t="s">
        <v>876</v>
      </c>
      <c r="AD210" s="367"/>
      <c r="AE210" s="367"/>
      <c r="AF210" s="367"/>
      <c r="AG210" s="367"/>
      <c r="AH210" s="367"/>
    </row>
    <row r="211" spans="24:40" x14ac:dyDescent="0.25">
      <c r="X211" s="578"/>
      <c r="AB211" s="367">
        <v>1</v>
      </c>
      <c r="AC211">
        <v>0.66700000000000004</v>
      </c>
    </row>
    <row r="212" spans="24:40" x14ac:dyDescent="0.25">
      <c r="X212" s="578"/>
      <c r="AB212" s="367">
        <v>0</v>
      </c>
      <c r="AC212">
        <v>3.48</v>
      </c>
      <c r="AG212" s="421">
        <f>AC212-AC215</f>
        <v>0.75999999999999979</v>
      </c>
      <c r="AH212" t="s">
        <v>881</v>
      </c>
    </row>
    <row r="213" spans="24:40" x14ac:dyDescent="0.25">
      <c r="X213" s="578"/>
      <c r="AB213" s="367">
        <v>0.2</v>
      </c>
      <c r="AC213">
        <v>2.16</v>
      </c>
      <c r="AD213" t="s">
        <v>882</v>
      </c>
      <c r="AG213">
        <f>AC216</f>
        <v>2.41</v>
      </c>
      <c r="AH213" t="s">
        <v>883</v>
      </c>
      <c r="AJ213" s="137">
        <f>AG213/AG214</f>
        <v>0.69252873563218398</v>
      </c>
    </row>
    <row r="214" spans="24:40" x14ac:dyDescent="0.25">
      <c r="X214" s="578"/>
      <c r="AB214" s="367">
        <v>0.2</v>
      </c>
      <c r="AC214">
        <v>1.9</v>
      </c>
      <c r="AE214">
        <f>AC213-AC214</f>
        <v>0.26000000000000023</v>
      </c>
      <c r="AG214">
        <f>AC212</f>
        <v>3.48</v>
      </c>
      <c r="AH214" t="s">
        <v>884</v>
      </c>
    </row>
    <row r="215" spans="24:40" x14ac:dyDescent="0.25">
      <c r="X215" s="578"/>
      <c r="AB215" s="367">
        <v>0</v>
      </c>
      <c r="AC215">
        <v>2.72</v>
      </c>
      <c r="AG215">
        <f>AC217</f>
        <v>2.9</v>
      </c>
      <c r="AH215" t="s">
        <v>886</v>
      </c>
    </row>
    <row r="216" spans="24:40" x14ac:dyDescent="0.25">
      <c r="X216" s="578"/>
      <c r="AB216" s="367">
        <v>0</v>
      </c>
      <c r="AC216">
        <v>2.41</v>
      </c>
      <c r="AE216" s="355">
        <f>AC215-AC216</f>
        <v>0.31000000000000005</v>
      </c>
      <c r="AF216" t="s">
        <v>887</v>
      </c>
    </row>
    <row r="217" spans="24:40" x14ac:dyDescent="0.25">
      <c r="X217" s="578"/>
      <c r="AB217" s="367">
        <v>0.2</v>
      </c>
      <c r="AC217">
        <v>2.9</v>
      </c>
    </row>
    <row r="218" spans="24:40" x14ac:dyDescent="0.25">
      <c r="X218" s="578"/>
    </row>
    <row r="219" spans="24:40" x14ac:dyDescent="0.25">
      <c r="X219" s="578"/>
    </row>
    <row r="220" spans="24:40" x14ac:dyDescent="0.25">
      <c r="X220" s="578"/>
      <c r="AK220" s="513"/>
    </row>
    <row r="221" spans="24:40" x14ac:dyDescent="0.25">
      <c r="X221" s="57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514"/>
      <c r="AL221" s="8"/>
      <c r="AM221" s="8"/>
      <c r="AN221" s="8"/>
    </row>
    <row r="222" spans="24:40" x14ac:dyDescent="0.25">
      <c r="X222" s="578"/>
    </row>
    <row r="223" spans="24:40" x14ac:dyDescent="0.25">
      <c r="X223" s="578"/>
      <c r="Z223" t="s">
        <v>865</v>
      </c>
    </row>
    <row r="224" spans="24:40" x14ac:dyDescent="0.25">
      <c r="X224" s="578"/>
      <c r="Z224">
        <v>30.6</v>
      </c>
      <c r="AA224" t="s">
        <v>866</v>
      </c>
      <c r="AB224" s="132" t="s">
        <v>867</v>
      </c>
    </row>
    <row r="225" spans="24:38" x14ac:dyDescent="0.25">
      <c r="X225" s="578"/>
      <c r="Z225">
        <f>Z224*AK228</f>
        <v>489.6</v>
      </c>
      <c r="AA225" t="s">
        <v>868</v>
      </c>
      <c r="AK225" t="s">
        <v>869</v>
      </c>
    </row>
    <row r="226" spans="24:38" x14ac:dyDescent="0.25">
      <c r="X226" s="578"/>
    </row>
    <row r="227" spans="24:38" x14ac:dyDescent="0.25">
      <c r="X227" s="578"/>
      <c r="Z227" t="s">
        <v>871</v>
      </c>
      <c r="AK227" t="s">
        <v>873</v>
      </c>
      <c r="AL227" t="s">
        <v>874</v>
      </c>
    </row>
    <row r="228" spans="24:38" x14ac:dyDescent="0.25">
      <c r="X228" s="578"/>
      <c r="Z228" t="s">
        <v>877</v>
      </c>
      <c r="AK228">
        <v>16</v>
      </c>
      <c r="AL228">
        <v>2018</v>
      </c>
    </row>
    <row r="229" spans="24:38" x14ac:dyDescent="0.25">
      <c r="X229" s="578"/>
      <c r="Z229">
        <v>135</v>
      </c>
      <c r="AA229" t="s">
        <v>878</v>
      </c>
      <c r="AB229">
        <v>405</v>
      </c>
      <c r="AC229" t="s">
        <v>879</v>
      </c>
      <c r="AD229" s="132" t="s">
        <v>880</v>
      </c>
    </row>
    <row r="230" spans="24:38" x14ac:dyDescent="0.25">
      <c r="X230" s="578"/>
      <c r="Z230">
        <f>(Z229+AB229)/2</f>
        <v>270</v>
      </c>
      <c r="AA230" t="s">
        <v>796</v>
      </c>
    </row>
    <row r="231" spans="24:38" x14ac:dyDescent="0.25">
      <c r="X231" s="578"/>
    </row>
    <row r="232" spans="24:38" x14ac:dyDescent="0.25">
      <c r="X232" s="578"/>
      <c r="Z232">
        <f>Z230*1000/(12*20*8)</f>
        <v>140.625</v>
      </c>
      <c r="AA232" t="s">
        <v>885</v>
      </c>
    </row>
    <row r="233" spans="24:38" x14ac:dyDescent="0.25">
      <c r="X233" s="578"/>
    </row>
    <row r="234" spans="24:38" x14ac:dyDescent="0.25">
      <c r="X234" s="578"/>
    </row>
    <row r="235" spans="24:38" x14ac:dyDescent="0.25">
      <c r="X235" s="578"/>
    </row>
    <row r="236" spans="24:38" x14ac:dyDescent="0.25">
      <c r="X236" s="578"/>
    </row>
    <row r="237" spans="24:38" x14ac:dyDescent="0.25">
      <c r="X237" s="578"/>
    </row>
    <row r="238" spans="24:38" x14ac:dyDescent="0.25">
      <c r="X238" s="578"/>
      <c r="Z238" s="11" t="s">
        <v>1533</v>
      </c>
      <c r="AA238" s="8"/>
      <c r="AB238" s="8"/>
      <c r="AC238" s="8"/>
      <c r="AD238" s="8"/>
      <c r="AE238" s="8"/>
      <c r="AF238" s="8"/>
    </row>
    <row r="239" spans="24:38" x14ac:dyDescent="0.25">
      <c r="X239" s="578"/>
      <c r="Z239" s="132" t="s">
        <v>1534</v>
      </c>
    </row>
    <row r="240" spans="24:38" x14ac:dyDescent="0.25">
      <c r="X240" s="578"/>
    </row>
    <row r="241" spans="24:31" x14ac:dyDescent="0.25">
      <c r="X241" s="578"/>
      <c r="Z241" t="s">
        <v>1535</v>
      </c>
      <c r="AA241">
        <f>AVERAGE(AB292:AB303)</f>
        <v>342.83333333333331</v>
      </c>
      <c r="AB241" t="s">
        <v>1536</v>
      </c>
    </row>
    <row r="242" spans="24:31" x14ac:dyDescent="0.25">
      <c r="X242" s="578"/>
      <c r="AB242" s="669" t="s">
        <v>1537</v>
      </c>
      <c r="AC242" s="669"/>
      <c r="AD242" s="669"/>
      <c r="AE242" t="s">
        <v>1538</v>
      </c>
    </row>
    <row r="243" spans="24:31" ht="15.75" thickBot="1" x14ac:dyDescent="0.3">
      <c r="X243" s="578"/>
      <c r="AB243" t="s">
        <v>1535</v>
      </c>
      <c r="AC243" t="s">
        <v>1539</v>
      </c>
      <c r="AD243" t="s">
        <v>1540</v>
      </c>
      <c r="AE243" t="s">
        <v>1541</v>
      </c>
    </row>
    <row r="244" spans="24:31" ht="15.75" thickBot="1" x14ac:dyDescent="0.3">
      <c r="X244" s="578"/>
      <c r="Z244" s="665">
        <v>2015</v>
      </c>
      <c r="AA244" s="665">
        <v>1</v>
      </c>
      <c r="AB244" s="665">
        <v>389</v>
      </c>
      <c r="AC244" s="665">
        <v>365</v>
      </c>
      <c r="AD244" s="665">
        <v>320</v>
      </c>
      <c r="AE244" s="665">
        <v>390</v>
      </c>
    </row>
    <row r="245" spans="24:31" ht="15.75" thickBot="1" x14ac:dyDescent="0.3">
      <c r="X245" s="578"/>
      <c r="Z245" s="665">
        <v>2015</v>
      </c>
      <c r="AA245" s="665">
        <v>2</v>
      </c>
      <c r="AB245" s="665">
        <v>342</v>
      </c>
      <c r="AC245" s="665">
        <v>351</v>
      </c>
      <c r="AD245" s="665">
        <v>306</v>
      </c>
      <c r="AE245" s="665">
        <v>414</v>
      </c>
    </row>
    <row r="246" spans="24:31" ht="15.75" thickBot="1" x14ac:dyDescent="0.3">
      <c r="X246" s="578"/>
      <c r="Z246" s="665">
        <v>2015</v>
      </c>
      <c r="AA246" s="665">
        <v>3</v>
      </c>
      <c r="AB246" s="665">
        <v>338</v>
      </c>
      <c r="AC246" s="665">
        <v>313</v>
      </c>
      <c r="AD246" s="665">
        <v>280</v>
      </c>
      <c r="AE246" s="665">
        <v>340</v>
      </c>
    </row>
    <row r="247" spans="24:31" ht="15.75" thickBot="1" x14ac:dyDescent="0.3">
      <c r="X247" s="578"/>
      <c r="Z247" s="665">
        <v>2015</v>
      </c>
      <c r="AA247" s="665">
        <v>4</v>
      </c>
      <c r="AB247" s="665">
        <v>291</v>
      </c>
      <c r="AC247" s="665">
        <v>288</v>
      </c>
      <c r="AD247" s="665">
        <v>238</v>
      </c>
      <c r="AE247" s="665">
        <v>330</v>
      </c>
    </row>
    <row r="248" spans="24:31" ht="15.75" thickBot="1" x14ac:dyDescent="0.3">
      <c r="X248" s="578"/>
      <c r="Z248" s="665">
        <v>2015</v>
      </c>
      <c r="AA248" s="665">
        <v>5</v>
      </c>
      <c r="AB248" s="665">
        <v>278</v>
      </c>
      <c r="AC248" s="665">
        <v>283</v>
      </c>
      <c r="AD248" s="665">
        <v>247</v>
      </c>
      <c r="AE248" s="665">
        <v>325</v>
      </c>
    </row>
    <row r="249" spans="24:31" ht="15.75" thickBot="1" x14ac:dyDescent="0.3">
      <c r="X249" s="578"/>
      <c r="Z249" s="665">
        <v>2015</v>
      </c>
      <c r="AA249" s="665">
        <v>6</v>
      </c>
      <c r="AB249" s="665">
        <v>259</v>
      </c>
      <c r="AC249" s="665">
        <v>258</v>
      </c>
      <c r="AD249" s="665">
        <v>252</v>
      </c>
      <c r="AE249" s="665">
        <v>299</v>
      </c>
    </row>
    <row r="250" spans="24:31" ht="15.75" thickBot="1" x14ac:dyDescent="0.3">
      <c r="X250" s="578"/>
      <c r="Z250" s="665">
        <v>2015</v>
      </c>
      <c r="AA250" s="665">
        <v>7</v>
      </c>
      <c r="AB250" s="665">
        <v>279</v>
      </c>
      <c r="AC250" s="665">
        <v>253</v>
      </c>
      <c r="AD250" s="665">
        <v>252</v>
      </c>
      <c r="AE250" s="665">
        <v>316</v>
      </c>
    </row>
    <row r="251" spans="24:31" ht="15.75" thickBot="1" x14ac:dyDescent="0.3">
      <c r="X251" s="578"/>
      <c r="Z251" s="665">
        <v>2015</v>
      </c>
      <c r="AA251" s="665">
        <v>8</v>
      </c>
      <c r="AB251" s="665">
        <v>264</v>
      </c>
      <c r="AC251" s="665">
        <v>273</v>
      </c>
      <c r="AD251" s="665">
        <v>243</v>
      </c>
      <c r="AE251" s="665">
        <v>301</v>
      </c>
    </row>
    <row r="252" spans="24:31" ht="15.75" thickBot="1" x14ac:dyDescent="0.3">
      <c r="X252" s="578"/>
      <c r="Z252" s="665">
        <v>2015</v>
      </c>
      <c r="AA252" s="665">
        <v>9</v>
      </c>
      <c r="AB252" s="665">
        <v>280</v>
      </c>
      <c r="AC252" s="665">
        <v>233</v>
      </c>
      <c r="AD252" s="665">
        <v>228</v>
      </c>
      <c r="AE252" s="665">
        <v>295</v>
      </c>
    </row>
    <row r="253" spans="24:31" ht="15.75" thickBot="1" x14ac:dyDescent="0.3">
      <c r="X253" s="578"/>
      <c r="Z253" s="665">
        <v>2015</v>
      </c>
      <c r="AA253" s="665">
        <v>10</v>
      </c>
      <c r="AB253" s="665">
        <v>246</v>
      </c>
      <c r="AC253" s="665">
        <v>255</v>
      </c>
      <c r="AD253" s="665">
        <v>209</v>
      </c>
      <c r="AE253" s="665">
        <v>265</v>
      </c>
    </row>
    <row r="254" spans="24:31" ht="15.75" thickBot="1" x14ac:dyDescent="0.3">
      <c r="X254" s="578"/>
      <c r="Z254" s="665">
        <v>2015</v>
      </c>
      <c r="AA254" s="665">
        <v>11</v>
      </c>
      <c r="AB254" s="665">
        <v>222</v>
      </c>
      <c r="AC254" s="665">
        <v>201</v>
      </c>
      <c r="AD254" s="665">
        <v>184</v>
      </c>
      <c r="AE254" s="665">
        <v>213</v>
      </c>
    </row>
    <row r="255" spans="24:31" ht="15.75" thickBot="1" x14ac:dyDescent="0.3">
      <c r="X255" s="578"/>
      <c r="Z255" s="665">
        <v>2015</v>
      </c>
      <c r="AA255" s="665">
        <v>12</v>
      </c>
      <c r="AB255" s="665">
        <v>181</v>
      </c>
      <c r="AC255" s="665">
        <v>174</v>
      </c>
      <c r="AD255" s="665">
        <v>169</v>
      </c>
      <c r="AE255" s="665">
        <v>204</v>
      </c>
    </row>
    <row r="256" spans="24:31" ht="15.75" thickBot="1" x14ac:dyDescent="0.3">
      <c r="X256" s="578"/>
      <c r="Z256" s="665">
        <v>2016</v>
      </c>
      <c r="AA256" s="665">
        <v>1</v>
      </c>
      <c r="AB256" s="665">
        <v>252</v>
      </c>
      <c r="AC256" s="665">
        <v>203</v>
      </c>
      <c r="AD256" s="665">
        <v>167</v>
      </c>
      <c r="AE256" s="665">
        <v>215</v>
      </c>
    </row>
    <row r="257" spans="24:31" ht="15.75" thickBot="1" x14ac:dyDescent="0.3">
      <c r="X257" s="578"/>
      <c r="Z257" s="665">
        <v>2016</v>
      </c>
      <c r="AA257" s="665">
        <v>2</v>
      </c>
      <c r="AB257" s="665">
        <v>214</v>
      </c>
      <c r="AC257" s="665">
        <v>199</v>
      </c>
      <c r="AD257" s="665">
        <v>164</v>
      </c>
      <c r="AE257" s="665">
        <v>209</v>
      </c>
    </row>
    <row r="258" spans="24:31" ht="15.75" thickBot="1" x14ac:dyDescent="0.3">
      <c r="X258" s="578"/>
      <c r="Z258" s="665">
        <v>2016</v>
      </c>
      <c r="AA258" s="665">
        <v>3</v>
      </c>
      <c r="AB258" s="665">
        <v>198</v>
      </c>
      <c r="AC258" s="665">
        <v>182</v>
      </c>
      <c r="AD258" s="665">
        <v>175</v>
      </c>
      <c r="AE258" s="665">
        <v>211</v>
      </c>
    </row>
    <row r="259" spans="24:31" ht="15.75" thickBot="1" x14ac:dyDescent="0.3">
      <c r="X259" s="578"/>
      <c r="Z259" s="665">
        <v>2016</v>
      </c>
      <c r="AA259" s="665">
        <v>4</v>
      </c>
      <c r="AB259" s="665">
        <v>212</v>
      </c>
      <c r="AC259" s="665">
        <v>195</v>
      </c>
      <c r="AD259" s="665">
        <v>184</v>
      </c>
      <c r="AE259" s="665">
        <v>237</v>
      </c>
    </row>
    <row r="260" spans="24:31" ht="15.75" thickBot="1" x14ac:dyDescent="0.3">
      <c r="X260" s="578"/>
      <c r="Z260" s="665">
        <v>2016</v>
      </c>
      <c r="AA260" s="665">
        <v>5</v>
      </c>
      <c r="AB260" s="665">
        <v>212</v>
      </c>
      <c r="AC260" s="665">
        <v>202</v>
      </c>
      <c r="AD260" s="665">
        <v>227</v>
      </c>
      <c r="AE260" s="665">
        <v>247</v>
      </c>
    </row>
    <row r="261" spans="24:31" ht="15.75" thickBot="1" x14ac:dyDescent="0.3">
      <c r="X261" s="578"/>
      <c r="Z261" s="665">
        <v>2016</v>
      </c>
      <c r="AA261" s="665">
        <v>6</v>
      </c>
      <c r="AB261" s="665">
        <v>225</v>
      </c>
      <c r="AC261" s="665">
        <v>224</v>
      </c>
      <c r="AD261" s="665">
        <v>229</v>
      </c>
      <c r="AE261" s="665">
        <v>278</v>
      </c>
    </row>
    <row r="262" spans="24:31" ht="15.75" thickBot="1" x14ac:dyDescent="0.3">
      <c r="X262" s="578"/>
      <c r="Z262" s="665">
        <v>2016</v>
      </c>
      <c r="AA262" s="665">
        <v>7</v>
      </c>
      <c r="AB262" s="665">
        <v>261</v>
      </c>
      <c r="AC262" s="665">
        <v>248</v>
      </c>
      <c r="AD262" s="665">
        <v>246</v>
      </c>
      <c r="AE262" s="665">
        <v>259</v>
      </c>
    </row>
    <row r="263" spans="24:31" ht="15.75" thickBot="1" x14ac:dyDescent="0.3">
      <c r="X263" s="578"/>
      <c r="Z263" s="665">
        <v>2016</v>
      </c>
      <c r="AA263" s="665">
        <v>8</v>
      </c>
      <c r="AB263" s="665">
        <v>272</v>
      </c>
      <c r="AC263" s="665">
        <v>273</v>
      </c>
      <c r="AD263" s="665">
        <v>230</v>
      </c>
      <c r="AE263" s="665">
        <v>271</v>
      </c>
    </row>
    <row r="264" spans="24:31" ht="15.75" thickBot="1" x14ac:dyDescent="0.3">
      <c r="X264" s="578"/>
      <c r="Z264" s="665">
        <v>2016</v>
      </c>
      <c r="AA264" s="665">
        <v>9</v>
      </c>
      <c r="AB264" s="665">
        <v>261</v>
      </c>
      <c r="AC264" s="665">
        <v>241</v>
      </c>
      <c r="AD264" s="665">
        <v>226</v>
      </c>
      <c r="AE264" s="665">
        <v>261</v>
      </c>
    </row>
    <row r="265" spans="24:31" ht="15.75" thickBot="1" x14ac:dyDescent="0.3">
      <c r="X265" s="578"/>
      <c r="Z265" s="665">
        <v>2016</v>
      </c>
      <c r="AA265" s="665">
        <v>10</v>
      </c>
      <c r="AB265" s="665">
        <v>266</v>
      </c>
      <c r="AC265" s="665">
        <v>257</v>
      </c>
      <c r="AD265" s="665">
        <v>229</v>
      </c>
      <c r="AE265" s="665">
        <v>272</v>
      </c>
    </row>
    <row r="266" spans="24:31" ht="15.75" thickBot="1" x14ac:dyDescent="0.3">
      <c r="X266" s="578"/>
      <c r="Z266" s="665">
        <v>2016</v>
      </c>
      <c r="AA266" s="665">
        <v>11</v>
      </c>
      <c r="AB266" s="665">
        <v>255</v>
      </c>
      <c r="AC266" s="665">
        <v>245</v>
      </c>
      <c r="AD266" s="665">
        <v>227</v>
      </c>
      <c r="AE266" s="665">
        <v>264</v>
      </c>
    </row>
    <row r="267" spans="24:31" ht="15.75" thickBot="1" x14ac:dyDescent="0.3">
      <c r="X267" s="578"/>
      <c r="Z267" s="665">
        <v>2016</v>
      </c>
      <c r="AA267" s="665">
        <v>12</v>
      </c>
      <c r="AB267" s="665">
        <v>249</v>
      </c>
      <c r="AC267" s="665">
        <v>271</v>
      </c>
      <c r="AD267" s="665">
        <v>259</v>
      </c>
      <c r="AE267" s="665">
        <v>293</v>
      </c>
    </row>
    <row r="268" spans="24:31" ht="15.75" thickBot="1" x14ac:dyDescent="0.3">
      <c r="X268" s="578"/>
      <c r="Z268" s="665">
        <v>2017</v>
      </c>
      <c r="AA268" s="665">
        <v>1</v>
      </c>
      <c r="AB268" s="665">
        <v>276</v>
      </c>
      <c r="AC268" s="665">
        <v>316</v>
      </c>
      <c r="AD268" s="665">
        <v>284</v>
      </c>
      <c r="AE268" s="665">
        <v>305</v>
      </c>
    </row>
    <row r="269" spans="24:31" ht="15.75" thickBot="1" x14ac:dyDescent="0.3">
      <c r="X269" s="578"/>
      <c r="Z269" s="665">
        <v>2017</v>
      </c>
      <c r="AA269" s="665">
        <v>2</v>
      </c>
      <c r="AB269" s="665">
        <v>296</v>
      </c>
      <c r="AC269" s="665">
        <v>303</v>
      </c>
      <c r="AD269" s="665">
        <v>293</v>
      </c>
      <c r="AE269" s="665">
        <v>322</v>
      </c>
    </row>
    <row r="270" spans="24:31" ht="15.75" thickBot="1" x14ac:dyDescent="0.3">
      <c r="X270" s="578"/>
      <c r="Z270" s="665">
        <v>2017</v>
      </c>
      <c r="AA270" s="665">
        <v>3</v>
      </c>
      <c r="AB270" s="665">
        <v>313</v>
      </c>
      <c r="AC270" s="665">
        <v>316</v>
      </c>
      <c r="AD270" s="665">
        <v>280</v>
      </c>
      <c r="AE270" s="665">
        <v>328</v>
      </c>
    </row>
    <row r="271" spans="24:31" ht="15.75" thickBot="1" x14ac:dyDescent="0.3">
      <c r="X271" s="578"/>
      <c r="Z271" s="665">
        <v>2017</v>
      </c>
      <c r="AA271" s="665">
        <v>4</v>
      </c>
      <c r="AB271" s="665">
        <v>307</v>
      </c>
      <c r="AC271" s="665">
        <v>339</v>
      </c>
      <c r="AD271" s="665">
        <v>305</v>
      </c>
      <c r="AE271" s="665">
        <v>358</v>
      </c>
    </row>
    <row r="272" spans="24:31" ht="15.75" thickBot="1" x14ac:dyDescent="0.3">
      <c r="X272" s="578"/>
      <c r="Z272" s="665">
        <v>2017</v>
      </c>
      <c r="AA272" s="665">
        <v>5</v>
      </c>
      <c r="AB272" s="665">
        <v>319</v>
      </c>
      <c r="AC272" s="665">
        <v>346</v>
      </c>
      <c r="AD272" s="665">
        <v>331</v>
      </c>
      <c r="AE272" s="665">
        <v>378</v>
      </c>
    </row>
    <row r="273" spans="24:31" ht="15.75" thickBot="1" x14ac:dyDescent="0.3">
      <c r="X273" s="578"/>
      <c r="Z273" s="665">
        <v>2017</v>
      </c>
      <c r="AA273" s="665">
        <v>6</v>
      </c>
      <c r="AB273" s="665">
        <v>349</v>
      </c>
      <c r="AC273" s="665">
        <v>365</v>
      </c>
      <c r="AD273" s="665">
        <v>333</v>
      </c>
      <c r="AE273" s="665">
        <v>357</v>
      </c>
    </row>
    <row r="274" spans="24:31" ht="15.75" thickBot="1" x14ac:dyDescent="0.3">
      <c r="X274" s="578"/>
      <c r="Z274" s="665">
        <v>2017</v>
      </c>
      <c r="AA274" s="665">
        <v>7</v>
      </c>
      <c r="AB274" s="665">
        <v>359</v>
      </c>
      <c r="AC274" s="665">
        <v>369</v>
      </c>
      <c r="AD274" s="665">
        <v>324</v>
      </c>
      <c r="AE274" s="665">
        <v>350</v>
      </c>
    </row>
    <row r="275" spans="24:31" ht="15.75" thickBot="1" x14ac:dyDescent="0.3">
      <c r="X275" s="578"/>
      <c r="Z275" s="665">
        <v>2017</v>
      </c>
      <c r="AA275" s="665">
        <v>8</v>
      </c>
      <c r="AB275" s="665">
        <v>364</v>
      </c>
      <c r="AC275" s="665">
        <v>359</v>
      </c>
      <c r="AD275" s="665">
        <v>315</v>
      </c>
      <c r="AE275" s="665">
        <v>365</v>
      </c>
    </row>
    <row r="276" spans="24:31" ht="15.75" thickBot="1" x14ac:dyDescent="0.3">
      <c r="X276" s="578"/>
      <c r="Z276" s="665">
        <v>2017</v>
      </c>
      <c r="AA276" s="665">
        <v>9</v>
      </c>
      <c r="AB276" s="665">
        <v>349</v>
      </c>
      <c r="AC276" s="665">
        <v>345</v>
      </c>
      <c r="AD276" s="665">
        <v>319</v>
      </c>
      <c r="AE276" s="665">
        <v>373</v>
      </c>
    </row>
    <row r="277" spans="24:31" ht="15.75" thickBot="1" x14ac:dyDescent="0.3">
      <c r="X277" s="578"/>
      <c r="Z277" s="665">
        <v>2017</v>
      </c>
      <c r="AA277" s="665">
        <v>10</v>
      </c>
      <c r="AB277" s="665">
        <v>353</v>
      </c>
      <c r="AC277" s="665">
        <v>356</v>
      </c>
      <c r="AD277" s="665">
        <v>333</v>
      </c>
      <c r="AE277" s="665">
        <v>375</v>
      </c>
    </row>
    <row r="278" spans="24:31" ht="15.75" thickBot="1" x14ac:dyDescent="0.3">
      <c r="X278" s="578"/>
      <c r="Z278" s="665">
        <v>2017</v>
      </c>
      <c r="AA278" s="665">
        <v>11</v>
      </c>
      <c r="AB278" s="665">
        <v>353</v>
      </c>
      <c r="AC278" s="665">
        <v>365</v>
      </c>
      <c r="AD278" s="665">
        <v>325</v>
      </c>
      <c r="AE278" s="665">
        <v>364</v>
      </c>
    </row>
    <row r="279" spans="24:31" ht="15.75" thickBot="1" x14ac:dyDescent="0.3">
      <c r="X279" s="578"/>
      <c r="Z279" s="665">
        <v>2017</v>
      </c>
      <c r="AA279" s="665">
        <v>12</v>
      </c>
      <c r="AB279" s="665">
        <v>366</v>
      </c>
      <c r="AC279" s="665">
        <v>316</v>
      </c>
      <c r="AD279" s="665">
        <v>324</v>
      </c>
      <c r="AE279" s="665">
        <v>370</v>
      </c>
    </row>
    <row r="280" spans="24:31" ht="15.75" thickBot="1" x14ac:dyDescent="0.3">
      <c r="X280" s="578"/>
      <c r="Z280" s="665">
        <v>2018</v>
      </c>
      <c r="AA280" s="665">
        <v>1</v>
      </c>
      <c r="AB280" s="665">
        <v>357</v>
      </c>
      <c r="AC280" s="665">
        <v>379</v>
      </c>
      <c r="AD280" s="665">
        <v>325</v>
      </c>
      <c r="AE280" s="665">
        <v>380</v>
      </c>
    </row>
    <row r="281" spans="24:31" ht="15.75" thickBot="1" x14ac:dyDescent="0.3">
      <c r="X281" s="578"/>
      <c r="Z281" s="665">
        <v>2018</v>
      </c>
      <c r="AA281" s="665">
        <v>2</v>
      </c>
      <c r="AB281" s="665">
        <v>381</v>
      </c>
      <c r="AC281" s="665">
        <v>352</v>
      </c>
      <c r="AD281" s="665">
        <v>329</v>
      </c>
      <c r="AE281" s="665">
        <v>370</v>
      </c>
    </row>
    <row r="282" spans="24:31" ht="15.75" thickBot="1" x14ac:dyDescent="0.3">
      <c r="X282" s="578"/>
      <c r="Z282" s="665">
        <v>2018</v>
      </c>
      <c r="AA282" s="665">
        <v>3</v>
      </c>
      <c r="AB282" s="665">
        <v>370</v>
      </c>
      <c r="AC282" s="665">
        <v>334</v>
      </c>
      <c r="AD282" s="665">
        <v>341</v>
      </c>
      <c r="AE282" s="665">
        <v>377</v>
      </c>
    </row>
    <row r="283" spans="24:31" ht="15.75" thickBot="1" x14ac:dyDescent="0.3">
      <c r="X283" s="578"/>
      <c r="Z283" s="665">
        <v>2018</v>
      </c>
      <c r="AA283" s="665">
        <v>4</v>
      </c>
      <c r="AB283" s="665">
        <v>381</v>
      </c>
      <c r="AC283" s="665">
        <v>387</v>
      </c>
      <c r="AD283" s="665">
        <v>330</v>
      </c>
      <c r="AE283" s="665">
        <v>376</v>
      </c>
    </row>
    <row r="284" spans="24:31" ht="15.75" thickBot="1" x14ac:dyDescent="0.3">
      <c r="X284" s="578"/>
      <c r="Z284" s="665">
        <v>2018</v>
      </c>
      <c r="AA284" s="665">
        <v>5</v>
      </c>
      <c r="AB284" s="665">
        <v>387</v>
      </c>
      <c r="AC284" s="665">
        <v>399</v>
      </c>
      <c r="AD284" s="665">
        <v>350</v>
      </c>
      <c r="AE284" s="665">
        <v>406</v>
      </c>
    </row>
    <row r="285" spans="24:31" ht="15.75" thickBot="1" x14ac:dyDescent="0.3">
      <c r="X285" s="578"/>
      <c r="Z285" s="665">
        <v>2018</v>
      </c>
      <c r="AA285" s="665">
        <v>6</v>
      </c>
      <c r="AB285" s="665">
        <v>396</v>
      </c>
      <c r="AC285" s="665">
        <v>377</v>
      </c>
      <c r="AD285" s="665">
        <v>371</v>
      </c>
      <c r="AE285" s="665">
        <v>396</v>
      </c>
    </row>
    <row r="286" spans="24:31" ht="15.75" thickBot="1" x14ac:dyDescent="0.3">
      <c r="X286" s="578"/>
      <c r="Z286" s="665">
        <v>2018</v>
      </c>
      <c r="AA286" s="665">
        <v>7</v>
      </c>
      <c r="AB286" s="665">
        <v>433</v>
      </c>
      <c r="AC286" s="665">
        <v>370</v>
      </c>
      <c r="AD286" s="665">
        <v>368</v>
      </c>
      <c r="AE286" s="665">
        <v>408</v>
      </c>
    </row>
    <row r="287" spans="24:31" ht="15.75" thickBot="1" x14ac:dyDescent="0.3">
      <c r="X287" s="578"/>
      <c r="Z287" s="665">
        <v>2018</v>
      </c>
      <c r="AA287" s="665">
        <v>8</v>
      </c>
      <c r="AB287" s="665">
        <v>415</v>
      </c>
      <c r="AC287" s="665">
        <v>399</v>
      </c>
      <c r="AD287" s="665">
        <v>373</v>
      </c>
      <c r="AE287" s="665">
        <v>407</v>
      </c>
    </row>
    <row r="288" spans="24:31" ht="15.75" thickBot="1" x14ac:dyDescent="0.3">
      <c r="X288" s="578"/>
      <c r="Z288" s="665">
        <v>2018</v>
      </c>
      <c r="AA288" s="665">
        <v>9</v>
      </c>
      <c r="AB288" s="665">
        <v>391</v>
      </c>
      <c r="AC288" s="665">
        <v>394</v>
      </c>
      <c r="AD288" s="665">
        <v>363</v>
      </c>
      <c r="AE288" s="665">
        <v>412</v>
      </c>
    </row>
    <row r="289" spans="24:31" ht="15.75" thickBot="1" x14ac:dyDescent="0.3">
      <c r="X289" s="578"/>
      <c r="Z289" s="665">
        <v>2018</v>
      </c>
      <c r="AA289" s="665">
        <v>10</v>
      </c>
      <c r="AB289" s="665">
        <v>421</v>
      </c>
      <c r="AC289" s="665">
        <v>392</v>
      </c>
      <c r="AD289" s="665">
        <v>358</v>
      </c>
      <c r="AE289" s="665">
        <v>394</v>
      </c>
    </row>
    <row r="290" spans="24:31" ht="15.75" thickBot="1" x14ac:dyDescent="0.3">
      <c r="X290" s="578"/>
      <c r="Z290" s="665">
        <v>2018</v>
      </c>
      <c r="AA290" s="665">
        <v>11</v>
      </c>
      <c r="AB290" s="665">
        <v>410</v>
      </c>
      <c r="AC290" s="665">
        <v>382</v>
      </c>
      <c r="AD290" s="665">
        <v>349</v>
      </c>
      <c r="AE290" s="665">
        <v>393</v>
      </c>
    </row>
    <row r="291" spans="24:31" ht="15.75" thickBot="1" x14ac:dyDescent="0.3">
      <c r="X291" s="578"/>
      <c r="Z291" s="665">
        <v>2018</v>
      </c>
      <c r="AA291" s="665">
        <v>12</v>
      </c>
      <c r="AB291" s="665">
        <v>381</v>
      </c>
      <c r="AC291" s="665">
        <v>364</v>
      </c>
      <c r="AD291" s="665">
        <v>342</v>
      </c>
      <c r="AE291" s="665">
        <v>391</v>
      </c>
    </row>
    <row r="292" spans="24:31" ht="15.75" thickBot="1" x14ac:dyDescent="0.3">
      <c r="X292" s="578"/>
      <c r="Z292" s="665">
        <v>2019</v>
      </c>
      <c r="AA292" s="665">
        <v>1</v>
      </c>
      <c r="AB292" s="665">
        <v>382</v>
      </c>
      <c r="AC292" s="665">
        <v>365</v>
      </c>
      <c r="AD292" s="665">
        <v>344</v>
      </c>
      <c r="AE292" s="665">
        <v>379</v>
      </c>
    </row>
    <row r="293" spans="24:31" ht="15.75" thickBot="1" x14ac:dyDescent="0.3">
      <c r="X293" s="578"/>
      <c r="Z293" s="665">
        <v>2019</v>
      </c>
      <c r="AA293" s="665">
        <v>2</v>
      </c>
      <c r="AB293" s="665">
        <v>383</v>
      </c>
      <c r="AC293" s="665">
        <v>356</v>
      </c>
      <c r="AD293" s="665">
        <v>314</v>
      </c>
      <c r="AE293" s="665">
        <v>359</v>
      </c>
    </row>
    <row r="294" spans="24:31" ht="15.75" thickBot="1" x14ac:dyDescent="0.3">
      <c r="X294" s="578"/>
      <c r="Z294" s="665">
        <v>2019</v>
      </c>
      <c r="AA294" s="665">
        <v>3</v>
      </c>
      <c r="AB294" s="665">
        <v>345</v>
      </c>
      <c r="AC294" s="665">
        <v>345</v>
      </c>
      <c r="AD294" s="665">
        <v>313</v>
      </c>
      <c r="AE294" s="665">
        <v>363</v>
      </c>
    </row>
    <row r="295" spans="24:31" ht="15.75" thickBot="1" x14ac:dyDescent="0.3">
      <c r="X295" s="578"/>
      <c r="Z295" s="665">
        <v>2019</v>
      </c>
      <c r="AA295" s="665">
        <v>4</v>
      </c>
      <c r="AB295" s="665">
        <v>342</v>
      </c>
      <c r="AC295" s="665">
        <v>351</v>
      </c>
      <c r="AD295" s="665">
        <v>331</v>
      </c>
      <c r="AE295" s="665">
        <v>360</v>
      </c>
    </row>
    <row r="296" spans="24:31" ht="15.75" thickBot="1" x14ac:dyDescent="0.3">
      <c r="X296" s="578"/>
      <c r="Z296" s="665">
        <v>2019</v>
      </c>
      <c r="AA296" s="665">
        <v>5</v>
      </c>
      <c r="AB296" s="665">
        <v>369</v>
      </c>
      <c r="AC296" s="665">
        <v>346</v>
      </c>
      <c r="AD296" s="665">
        <v>326</v>
      </c>
      <c r="AE296" s="665">
        <v>358</v>
      </c>
    </row>
    <row r="297" spans="24:31" ht="15.75" thickBot="1" x14ac:dyDescent="0.3">
      <c r="X297" s="578"/>
      <c r="Z297" s="665">
        <v>2019</v>
      </c>
      <c r="AA297" s="665">
        <v>6</v>
      </c>
      <c r="AB297" s="665">
        <v>370</v>
      </c>
      <c r="AC297" s="665">
        <v>341</v>
      </c>
      <c r="AD297" s="665">
        <v>321</v>
      </c>
      <c r="AE297" s="665">
        <v>364</v>
      </c>
    </row>
    <row r="298" spans="24:31" ht="15.75" thickBot="1" x14ac:dyDescent="0.3">
      <c r="X298" s="578"/>
      <c r="Z298" s="665">
        <v>2019</v>
      </c>
      <c r="AA298" s="665">
        <v>7</v>
      </c>
      <c r="AB298" s="665">
        <v>332</v>
      </c>
      <c r="AC298" s="665">
        <v>337</v>
      </c>
      <c r="AD298" s="665">
        <v>316</v>
      </c>
      <c r="AE298" s="665">
        <v>374</v>
      </c>
    </row>
    <row r="299" spans="24:31" ht="15.75" thickBot="1" x14ac:dyDescent="0.3">
      <c r="X299" s="578"/>
      <c r="Z299" s="665">
        <v>2019</v>
      </c>
      <c r="AA299" s="665">
        <v>8</v>
      </c>
      <c r="AB299" s="665">
        <v>355</v>
      </c>
      <c r="AC299" s="665">
        <v>324</v>
      </c>
      <c r="AD299" s="665">
        <v>315</v>
      </c>
      <c r="AE299" s="665">
        <v>384</v>
      </c>
    </row>
    <row r="300" spans="24:31" ht="15.75" thickBot="1" x14ac:dyDescent="0.3">
      <c r="X300" s="578"/>
      <c r="Z300" s="665">
        <v>2019</v>
      </c>
      <c r="AA300" s="665">
        <v>9</v>
      </c>
      <c r="AB300" s="665">
        <v>328</v>
      </c>
      <c r="AC300" s="665">
        <v>335</v>
      </c>
      <c r="AD300" s="665">
        <v>319</v>
      </c>
      <c r="AE300" s="665">
        <v>375</v>
      </c>
    </row>
    <row r="301" spans="24:31" ht="15.75" thickBot="1" x14ac:dyDescent="0.3">
      <c r="X301" s="578"/>
      <c r="Z301" s="665">
        <v>2019</v>
      </c>
      <c r="AA301" s="665">
        <v>10</v>
      </c>
      <c r="AB301" s="665">
        <v>316</v>
      </c>
      <c r="AC301" s="665">
        <v>336</v>
      </c>
      <c r="AD301" s="665">
        <v>307</v>
      </c>
      <c r="AE301" s="665">
        <v>339</v>
      </c>
    </row>
    <row r="302" spans="24:31" ht="15.75" thickBot="1" x14ac:dyDescent="0.3">
      <c r="X302" s="578"/>
      <c r="Z302" s="665">
        <v>2019</v>
      </c>
      <c r="AA302" s="665">
        <v>11</v>
      </c>
      <c r="AB302" s="665">
        <v>313</v>
      </c>
      <c r="AC302" s="665">
        <v>320</v>
      </c>
      <c r="AD302" s="665">
        <v>270</v>
      </c>
      <c r="AE302" s="665">
        <v>336</v>
      </c>
    </row>
    <row r="303" spans="24:31" ht="15.75" thickBot="1" x14ac:dyDescent="0.3">
      <c r="X303" s="578"/>
      <c r="Z303" s="665">
        <v>2019</v>
      </c>
      <c r="AA303" s="665">
        <v>12</v>
      </c>
      <c r="AB303" s="665">
        <v>279</v>
      </c>
      <c r="AC303" s="665">
        <v>296</v>
      </c>
      <c r="AD303" s="665">
        <v>274</v>
      </c>
      <c r="AE303" s="665">
        <v>322</v>
      </c>
    </row>
    <row r="304" spans="24:31" ht="15.75" thickBot="1" x14ac:dyDescent="0.3">
      <c r="X304" s="578"/>
      <c r="Z304" s="665">
        <v>2020</v>
      </c>
      <c r="AA304" s="665">
        <v>1</v>
      </c>
      <c r="AB304" s="665">
        <v>291</v>
      </c>
      <c r="AC304" s="665">
        <v>304</v>
      </c>
      <c r="AD304" s="665">
        <v>305</v>
      </c>
      <c r="AE304" s="665">
        <v>330</v>
      </c>
    </row>
    <row r="305" spans="24:31" ht="15.75" thickBot="1" x14ac:dyDescent="0.3">
      <c r="X305" s="578"/>
      <c r="Z305" s="665">
        <v>2020</v>
      </c>
      <c r="AA305" s="665">
        <v>2</v>
      </c>
      <c r="AB305" s="665">
        <v>297</v>
      </c>
      <c r="AC305" s="665">
        <v>308</v>
      </c>
      <c r="AD305" s="665">
        <v>306</v>
      </c>
      <c r="AE305" s="665" t="s">
        <v>1193</v>
      </c>
    </row>
    <row r="306" spans="24:31" x14ac:dyDescent="0.25">
      <c r="X306" s="578"/>
    </row>
    <row r="307" spans="24:31" x14ac:dyDescent="0.25">
      <c r="X307" s="578"/>
    </row>
  </sheetData>
  <mergeCells count="6">
    <mergeCell ref="AB242:AD242"/>
    <mergeCell ref="B64:B66"/>
    <mergeCell ref="B58:B60"/>
    <mergeCell ref="B61:B63"/>
    <mergeCell ref="D56:F56"/>
    <mergeCell ref="G56:I56"/>
  </mergeCells>
  <hyperlinks>
    <hyperlink ref="AA76" r:id="rId1" xr:uid="{7765F28B-229F-453A-B9FC-098511D51EFD}"/>
    <hyperlink ref="AA115" r:id="rId2" display="https://doi.org/10.1016/j.xcrp.2020.100174" xr:uid="{E2B46BC5-62A9-4E64-ABB0-BDAFABD8EDDF}"/>
    <hyperlink ref="AB224" r:id="rId3" xr:uid="{1920BD79-45EE-4F8D-BED5-69123D5AD9E9}"/>
    <hyperlink ref="AD229" r:id="rId4" xr:uid="{30763340-A4CE-4E01-AE01-39BE47A1F632}"/>
    <hyperlink ref="AK125" r:id="rId5" xr:uid="{4A810EFD-A5E6-4E12-8E20-9C6C578AE3C0}"/>
    <hyperlink ref="S3" r:id="rId6" xr:uid="{04473305-453A-44FD-8DAE-CEB851228700}"/>
    <hyperlink ref="Z239" r:id="rId7" xr:uid="{C4022D11-B214-44E6-B53C-C40BF718A708}"/>
  </hyperlinks>
  <pageMargins left="0.7" right="0.7" top="0.75" bottom="0.75" header="0.3" footer="0.3"/>
  <pageSetup orientation="portrait" horizontalDpi="1200" verticalDpi="1200" r:id="rId8"/>
  <drawing r:id="rId9"/>
  <legacyDrawing r:id="rId1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E1CDE-F275-42A9-95D2-26D56C7EFA09}">
  <sheetPr>
    <tabColor rgb="FF92D050"/>
  </sheetPr>
  <dimension ref="A1:AK151"/>
  <sheetViews>
    <sheetView zoomScale="85" zoomScaleNormal="85" workbookViewId="0">
      <selection activeCell="J38" sqref="J38"/>
    </sheetView>
  </sheetViews>
  <sheetFormatPr defaultRowHeight="15" x14ac:dyDescent="0.25"/>
  <cols>
    <col min="1" max="1" width="14.5703125" customWidth="1"/>
    <col min="2" max="2" width="18.85546875" customWidth="1"/>
    <col min="3" max="3" width="14.85546875" customWidth="1"/>
    <col min="5" max="5" width="9.5703125" bestFit="1" customWidth="1"/>
    <col min="6" max="7" width="10.28515625" bestFit="1" customWidth="1"/>
    <col min="8" max="8" width="11.7109375" customWidth="1"/>
    <col min="9" max="9" width="36" customWidth="1"/>
    <col min="10" max="10" width="25.85546875" customWidth="1"/>
    <col min="11" max="11" width="13.140625" bestFit="1" customWidth="1"/>
    <col min="12" max="15" width="6.85546875" customWidth="1"/>
    <col min="16" max="16" width="8.85546875" customWidth="1"/>
    <col min="17" max="17" width="6.85546875" customWidth="1"/>
    <col min="18" max="18" width="9.140625" customWidth="1"/>
    <col min="19" max="19" width="9.28515625" customWidth="1"/>
    <col min="20" max="20" width="8.42578125" customWidth="1"/>
    <col min="21" max="21" width="13.7109375" customWidth="1"/>
    <col min="22" max="25" width="6.85546875" customWidth="1"/>
    <col min="26" max="38" width="7" customWidth="1"/>
  </cols>
  <sheetData>
    <row r="1" spans="1:37" x14ac:dyDescent="0.25">
      <c r="B1" t="s">
        <v>894</v>
      </c>
      <c r="I1" t="s">
        <v>895</v>
      </c>
      <c r="J1">
        <f>1000000*3600/1000000000000000</f>
        <v>3.5999999999999998E-6</v>
      </c>
      <c r="K1" t="s">
        <v>896</v>
      </c>
    </row>
    <row r="2" spans="1:37" x14ac:dyDescent="0.25">
      <c r="B2" t="s">
        <v>897</v>
      </c>
      <c r="I2" t="s">
        <v>841</v>
      </c>
      <c r="J2">
        <f>'H-DRI literature and calcs'!AO130</f>
        <v>120</v>
      </c>
      <c r="K2" t="s">
        <v>435</v>
      </c>
    </row>
    <row r="3" spans="1:37" x14ac:dyDescent="0.25">
      <c r="B3" s="515">
        <v>1</v>
      </c>
      <c r="C3" s="507" t="s">
        <v>898</v>
      </c>
      <c r="I3" t="s">
        <v>899</v>
      </c>
      <c r="J3">
        <f>1/8</f>
        <v>0.125</v>
      </c>
    </row>
    <row r="4" spans="1:37" ht="15.75" thickBot="1" x14ac:dyDescent="0.3">
      <c r="B4">
        <v>11.914999999999999</v>
      </c>
      <c r="C4" t="s">
        <v>900</v>
      </c>
    </row>
    <row r="5" spans="1:37" x14ac:dyDescent="0.25">
      <c r="A5" t="s">
        <v>1000</v>
      </c>
      <c r="B5">
        <v>1.1499999999999999</v>
      </c>
      <c r="C5" s="132" t="s">
        <v>821</v>
      </c>
      <c r="K5" s="434"/>
      <c r="L5" s="435"/>
      <c r="M5" s="435"/>
      <c r="N5" s="435"/>
      <c r="O5" s="435"/>
      <c r="P5" s="435"/>
      <c r="Q5" s="435"/>
      <c r="R5" s="435"/>
      <c r="S5" s="435"/>
      <c r="T5" s="435"/>
      <c r="U5" s="435"/>
      <c r="V5" s="435"/>
      <c r="W5" s="435"/>
      <c r="X5" s="435"/>
      <c r="Y5" s="435"/>
      <c r="Z5" s="435"/>
      <c r="AA5" s="435"/>
      <c r="AB5" s="435"/>
      <c r="AC5" s="435"/>
      <c r="AD5" s="435"/>
      <c r="AE5" s="435"/>
      <c r="AF5" s="435"/>
      <c r="AG5" s="435"/>
      <c r="AH5" s="435"/>
      <c r="AI5" s="435"/>
      <c r="AJ5" s="435"/>
      <c r="AK5" s="436"/>
    </row>
    <row r="6" spans="1:37" x14ac:dyDescent="0.25">
      <c r="B6" s="355">
        <v>0.85343228200371057</v>
      </c>
      <c r="C6" t="s">
        <v>1001</v>
      </c>
      <c r="K6" s="437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438"/>
    </row>
    <row r="7" spans="1:37" x14ac:dyDescent="0.25">
      <c r="A7" s="11" t="s">
        <v>999</v>
      </c>
      <c r="B7" s="8"/>
      <c r="C7" s="8"/>
      <c r="D7" s="8"/>
      <c r="E7" s="8"/>
      <c r="F7" s="8"/>
      <c r="G7" s="8"/>
      <c r="H7" s="8"/>
      <c r="I7" s="8"/>
      <c r="K7" s="437"/>
      <c r="AK7" s="438"/>
    </row>
    <row r="8" spans="1:37" x14ac:dyDescent="0.25">
      <c r="A8" s="516" t="s">
        <v>901</v>
      </c>
      <c r="B8" t="s">
        <v>998</v>
      </c>
      <c r="C8" s="355">
        <v>1</v>
      </c>
      <c r="D8" t="s">
        <v>902</v>
      </c>
      <c r="K8" s="437"/>
      <c r="AK8" s="438"/>
    </row>
    <row r="9" spans="1:37" x14ac:dyDescent="0.25">
      <c r="B9" t="s">
        <v>903</v>
      </c>
      <c r="C9" s="421">
        <f>'H-DRI literature and calcs'!AG137*1000000*J1</f>
        <v>2.7107999999999999</v>
      </c>
      <c r="D9" t="s">
        <v>143</v>
      </c>
      <c r="K9" s="437"/>
      <c r="AK9" s="438"/>
    </row>
    <row r="10" spans="1:37" x14ac:dyDescent="0.25">
      <c r="B10" s="550" t="s">
        <v>904</v>
      </c>
      <c r="C10" s="551">
        <v>0</v>
      </c>
      <c r="D10" s="550" t="s">
        <v>902</v>
      </c>
      <c r="E10" s="550"/>
      <c r="K10" s="437"/>
      <c r="AK10" s="438"/>
    </row>
    <row r="11" spans="1:37" x14ac:dyDescent="0.25">
      <c r="B11" s="550" t="s">
        <v>905</v>
      </c>
      <c r="C11" s="550">
        <f>'[16]Facility technicals and LCOE'!E23/1000000</f>
        <v>1</v>
      </c>
      <c r="D11" s="550" t="s">
        <v>902</v>
      </c>
      <c r="E11" s="550"/>
      <c r="F11" s="550"/>
      <c r="K11" s="437"/>
      <c r="AK11" s="438"/>
    </row>
    <row r="12" spans="1:37" x14ac:dyDescent="0.25">
      <c r="K12" s="437"/>
      <c r="AK12" s="438"/>
    </row>
    <row r="13" spans="1:37" x14ac:dyDescent="0.25">
      <c r="B13" t="s">
        <v>906</v>
      </c>
      <c r="C13" s="355">
        <f>C8+C9</f>
        <v>3.7107999999999999</v>
      </c>
      <c r="D13" t="s">
        <v>907</v>
      </c>
      <c r="K13" s="437"/>
      <c r="AK13" s="438"/>
    </row>
    <row r="14" spans="1:37" x14ac:dyDescent="0.25">
      <c r="B14" t="s">
        <v>908</v>
      </c>
      <c r="C14" s="421">
        <f>C8/C13</f>
        <v>0.26948366928964107</v>
      </c>
      <c r="D14" t="s">
        <v>839</v>
      </c>
      <c r="K14" s="437"/>
      <c r="S14" s="517"/>
      <c r="AK14" s="438"/>
    </row>
    <row r="15" spans="1:37" x14ac:dyDescent="0.25">
      <c r="B15" t="s">
        <v>908</v>
      </c>
      <c r="C15" s="421">
        <f>C9/C13</f>
        <v>0.73051633071035893</v>
      </c>
      <c r="D15" t="s">
        <v>39</v>
      </c>
      <c r="K15" s="437"/>
      <c r="O15" s="518"/>
      <c r="U15" s="676"/>
      <c r="V15" s="676"/>
      <c r="Y15" s="518"/>
      <c r="AK15" s="438"/>
    </row>
    <row r="16" spans="1:37" x14ac:dyDescent="0.25">
      <c r="K16" s="437"/>
      <c r="S16" s="518"/>
      <c r="AK16" s="438"/>
    </row>
    <row r="17" spans="1:37" x14ac:dyDescent="0.25">
      <c r="B17" s="550" t="s">
        <v>909</v>
      </c>
      <c r="C17" s="550"/>
      <c r="D17" s="550" t="s">
        <v>910</v>
      </c>
      <c r="E17" s="550"/>
      <c r="K17" s="437"/>
      <c r="Z17" s="518"/>
      <c r="AK17" s="438"/>
    </row>
    <row r="18" spans="1:37" ht="18.75" x14ac:dyDescent="0.25">
      <c r="K18" s="437"/>
      <c r="AD18" s="519"/>
      <c r="AK18" s="438"/>
    </row>
    <row r="19" spans="1:37" x14ac:dyDescent="0.25">
      <c r="A19" s="516" t="s">
        <v>911</v>
      </c>
      <c r="B19" s="516" t="s">
        <v>912</v>
      </c>
      <c r="C19" s="516">
        <f>'H-DRI literature and calcs'!AG131</f>
        <v>184</v>
      </c>
      <c r="D19" s="516" t="s">
        <v>863</v>
      </c>
      <c r="K19" s="437"/>
      <c r="Z19" s="518"/>
      <c r="AK19" s="438"/>
    </row>
    <row r="20" spans="1:37" x14ac:dyDescent="0.25">
      <c r="C20">
        <f>C19*B5</f>
        <v>211.6</v>
      </c>
      <c r="D20" t="s">
        <v>685</v>
      </c>
      <c r="K20" s="437"/>
      <c r="AK20" s="438"/>
    </row>
    <row r="21" spans="1:37" x14ac:dyDescent="0.25">
      <c r="B21" t="s">
        <v>914</v>
      </c>
      <c r="C21" s="494">
        <f>C20*B4</f>
        <v>2521.2139999999999</v>
      </c>
      <c r="D21" t="s">
        <v>913</v>
      </c>
      <c r="K21" s="437"/>
      <c r="AK21" s="438"/>
    </row>
    <row r="22" spans="1:37" x14ac:dyDescent="0.25">
      <c r="B22" s="550"/>
      <c r="C22" s="553">
        <f>C21</f>
        <v>2521.2139999999999</v>
      </c>
      <c r="D22" s="550" t="s">
        <v>915</v>
      </c>
      <c r="E22" s="550"/>
      <c r="K22" s="520"/>
      <c r="AK22" s="438"/>
    </row>
    <row r="23" spans="1:37" x14ac:dyDescent="0.25">
      <c r="A23" t="s">
        <v>223</v>
      </c>
      <c r="B23" t="s">
        <v>703</v>
      </c>
      <c r="C23" s="494">
        <f>'AMSA reports'!O13*H23</f>
        <v>725.14525500322793</v>
      </c>
      <c r="D23" t="s">
        <v>916</v>
      </c>
      <c r="H23" s="367">
        <v>0.5</v>
      </c>
      <c r="I23" t="s">
        <v>1016</v>
      </c>
      <c r="K23" s="437"/>
      <c r="AK23" s="438"/>
    </row>
    <row r="24" spans="1:37" x14ac:dyDescent="0.25">
      <c r="B24" t="s">
        <v>917</v>
      </c>
      <c r="C24" s="494">
        <f>C23*B6</f>
        <v>618.86236976156738</v>
      </c>
      <c r="D24" t="s">
        <v>918</v>
      </c>
      <c r="K24" s="437"/>
      <c r="AK24" s="438"/>
    </row>
    <row r="25" spans="1:37" x14ac:dyDescent="0.25">
      <c r="K25" s="437"/>
      <c r="AK25" s="438"/>
    </row>
    <row r="26" spans="1:37" x14ac:dyDescent="0.25">
      <c r="K26" s="437"/>
      <c r="AK26" s="438"/>
    </row>
    <row r="27" spans="1:37" x14ac:dyDescent="0.25">
      <c r="A27" s="11" t="s">
        <v>1017</v>
      </c>
      <c r="B27" s="8"/>
      <c r="C27" s="8"/>
      <c r="D27" s="8"/>
      <c r="E27" s="8"/>
      <c r="F27" s="8"/>
      <c r="G27" s="8"/>
      <c r="H27" s="8"/>
      <c r="I27" s="8"/>
      <c r="K27" s="437"/>
      <c r="AK27" s="438"/>
    </row>
    <row r="28" spans="1:37" x14ac:dyDescent="0.25">
      <c r="C28" s="432"/>
      <c r="E28" s="136">
        <v>2020</v>
      </c>
      <c r="F28" s="521">
        <v>2030</v>
      </c>
      <c r="G28" s="521">
        <v>2050</v>
      </c>
      <c r="K28" s="437"/>
      <c r="AK28" s="438"/>
    </row>
    <row r="29" spans="1:37" x14ac:dyDescent="0.25">
      <c r="F29" s="522"/>
      <c r="G29" s="522"/>
      <c r="K29" s="437"/>
      <c r="AK29" s="438"/>
    </row>
    <row r="30" spans="1:37" x14ac:dyDescent="0.25">
      <c r="A30" s="523" t="s">
        <v>924</v>
      </c>
      <c r="B30" t="s">
        <v>903</v>
      </c>
      <c r="C30" s="432">
        <f>'[16]Facility technicals and LCOE'!M56*3.6*'Summary Hydrogen DRI new'!B3/1000000</f>
        <v>10.928571428571427</v>
      </c>
      <c r="D30" t="s">
        <v>143</v>
      </c>
      <c r="F30" s="522"/>
      <c r="G30" s="522"/>
      <c r="H30" t="s">
        <v>920</v>
      </c>
      <c r="I30" t="s">
        <v>921</v>
      </c>
      <c r="K30" s="437"/>
      <c r="AK30" s="438"/>
    </row>
    <row r="31" spans="1:37" x14ac:dyDescent="0.25">
      <c r="B31" t="s">
        <v>922</v>
      </c>
      <c r="C31" s="432">
        <f>C30*C34</f>
        <v>6.12</v>
      </c>
      <c r="D31" t="s">
        <v>143</v>
      </c>
      <c r="F31" s="522"/>
      <c r="G31" s="522"/>
      <c r="H31" s="512">
        <f>C31*1000000000/J2</f>
        <v>51000000</v>
      </c>
      <c r="I31" s="524">
        <f>H31/1000000000</f>
        <v>5.0999999999999997E-2</v>
      </c>
      <c r="K31" s="437"/>
      <c r="AK31" s="438"/>
    </row>
    <row r="32" spans="1:37" x14ac:dyDescent="0.25">
      <c r="B32" t="s">
        <v>923</v>
      </c>
      <c r="C32" s="524">
        <f>I31/J3</f>
        <v>0.40799999999999997</v>
      </c>
      <c r="D32" t="s">
        <v>902</v>
      </c>
      <c r="F32" s="522"/>
      <c r="G32" s="522"/>
      <c r="K32" s="437"/>
      <c r="AK32" s="438"/>
    </row>
    <row r="33" spans="1:37" x14ac:dyDescent="0.25">
      <c r="I33" s="421"/>
      <c r="K33" s="437"/>
      <c r="AK33" s="438"/>
    </row>
    <row r="34" spans="1:37" x14ac:dyDescent="0.25">
      <c r="A34" s="523" t="s">
        <v>924</v>
      </c>
      <c r="B34" s="523" t="s">
        <v>925</v>
      </c>
      <c r="C34" s="523">
        <f>'H-DRI literature and calcs'!AC59</f>
        <v>0.56000000000000005</v>
      </c>
      <c r="D34" s="523"/>
      <c r="E34" s="523"/>
      <c r="F34" s="523">
        <f>'H-DRI literature and calcs'!AD59</f>
        <v>0.63</v>
      </c>
      <c r="G34" s="523">
        <f>'H-DRI literature and calcs'!AE59</f>
        <v>0.67</v>
      </c>
      <c r="K34" s="437"/>
      <c r="AK34" s="438"/>
    </row>
    <row r="35" spans="1:37" x14ac:dyDescent="0.25">
      <c r="B35" t="s">
        <v>926</v>
      </c>
      <c r="C35" s="355">
        <f>1/C34</f>
        <v>1.7857142857142856</v>
      </c>
      <c r="D35" s="355"/>
      <c r="E35" s="355"/>
      <c r="F35" s="355">
        <f>1/F34</f>
        <v>1.5873015873015872</v>
      </c>
      <c r="G35" s="355">
        <f>1/G34</f>
        <v>1.4925373134328357</v>
      </c>
      <c r="K35" s="437"/>
      <c r="AK35" s="438"/>
    </row>
    <row r="36" spans="1:37" x14ac:dyDescent="0.25">
      <c r="B36" t="s">
        <v>909</v>
      </c>
      <c r="C36" s="432">
        <f>C31</f>
        <v>6.12</v>
      </c>
      <c r="D36" t="s">
        <v>927</v>
      </c>
      <c r="F36" s="525">
        <f>C36*(F34/$C$34)</f>
        <v>6.8849999999999998</v>
      </c>
      <c r="G36" s="525">
        <f>C36*(G34/$C$34)</f>
        <v>7.3221428571428575</v>
      </c>
      <c r="I36" t="s">
        <v>928</v>
      </c>
      <c r="K36" s="437"/>
      <c r="AK36" s="438"/>
    </row>
    <row r="37" spans="1:37" x14ac:dyDescent="0.25">
      <c r="B37" t="s">
        <v>909</v>
      </c>
      <c r="C37" s="524">
        <f>C32</f>
        <v>0.40799999999999997</v>
      </c>
      <c r="D37" t="s">
        <v>929</v>
      </c>
      <c r="F37" s="525">
        <f>C37*(F36/C36)</f>
        <v>0.45899999999999996</v>
      </c>
      <c r="G37" s="525">
        <f>C37*(G36/C36)</f>
        <v>0.4881428571428571</v>
      </c>
      <c r="I37" t="s">
        <v>928</v>
      </c>
      <c r="K37" s="437"/>
      <c r="AK37" s="438"/>
    </row>
    <row r="38" spans="1:37" x14ac:dyDescent="0.25">
      <c r="B38" t="s">
        <v>909</v>
      </c>
      <c r="C38" s="432">
        <f>C30</f>
        <v>10.928571428571427</v>
      </c>
      <c r="D38" t="s">
        <v>930</v>
      </c>
      <c r="F38" s="522"/>
      <c r="G38" s="522"/>
      <c r="I38" t="s">
        <v>928</v>
      </c>
      <c r="K38" s="437"/>
      <c r="AK38" s="438"/>
    </row>
    <row r="39" spans="1:37" ht="15.75" thickBot="1" x14ac:dyDescent="0.3">
      <c r="K39" s="440"/>
      <c r="L39" s="441"/>
      <c r="M39" s="441"/>
      <c r="N39" s="441"/>
      <c r="O39" s="441"/>
      <c r="P39" s="441"/>
      <c r="Q39" s="441"/>
      <c r="R39" s="441"/>
      <c r="S39" s="441"/>
      <c r="T39" s="441"/>
      <c r="U39" s="441"/>
      <c r="V39" s="441"/>
      <c r="W39" s="441"/>
      <c r="X39" s="441"/>
      <c r="Y39" s="441"/>
      <c r="Z39" s="441"/>
      <c r="AA39" s="441"/>
      <c r="AB39" s="441"/>
      <c r="AC39" s="441"/>
      <c r="AD39" s="441"/>
      <c r="AE39" s="441"/>
      <c r="AF39" s="441"/>
      <c r="AG39" s="441"/>
      <c r="AH39" s="441"/>
      <c r="AI39" s="441"/>
      <c r="AJ39" s="441"/>
      <c r="AK39" s="442"/>
    </row>
    <row r="40" spans="1:37" x14ac:dyDescent="0.25">
      <c r="A40" t="s">
        <v>931</v>
      </c>
      <c r="B40" t="s">
        <v>932</v>
      </c>
      <c r="C40" s="367">
        <f>'[16]Facility technicals and LCOE'!AA24</f>
        <v>0.9</v>
      </c>
    </row>
    <row r="41" spans="1:37" x14ac:dyDescent="0.25">
      <c r="A41" s="523" t="s">
        <v>924</v>
      </c>
      <c r="B41" s="523" t="s">
        <v>933</v>
      </c>
      <c r="C41" s="523">
        <f>'H-DRI literature and calcs'!AC63</f>
        <v>1800</v>
      </c>
      <c r="D41" s="523" t="s">
        <v>793</v>
      </c>
      <c r="E41" s="523"/>
      <c r="F41" s="523">
        <f>'H-DRI literature and calcs'!AD63</f>
        <v>1500</v>
      </c>
      <c r="G41" s="523">
        <f>'H-DRI literature and calcs'!AE63</f>
        <v>900</v>
      </c>
    </row>
    <row r="42" spans="1:37" x14ac:dyDescent="0.25">
      <c r="A42" s="526" t="s">
        <v>934</v>
      </c>
      <c r="B42" t="s">
        <v>933</v>
      </c>
      <c r="C42" s="494">
        <f>C41*$B$4</f>
        <v>21447</v>
      </c>
      <c r="D42" t="s">
        <v>935</v>
      </c>
      <c r="F42" s="494">
        <f>F41*$B$4</f>
        <v>17872.5</v>
      </c>
      <c r="G42" s="494">
        <f>G41*$B$4</f>
        <v>10723.5</v>
      </c>
      <c r="L42" s="136" t="s">
        <v>936</v>
      </c>
    </row>
    <row r="43" spans="1:37" x14ac:dyDescent="0.25">
      <c r="B43" t="s">
        <v>914</v>
      </c>
      <c r="C43" s="494">
        <f>C42</f>
        <v>21447</v>
      </c>
      <c r="D43" t="s">
        <v>937</v>
      </c>
      <c r="F43" s="494">
        <f>F42</f>
        <v>17872.5</v>
      </c>
      <c r="G43" s="494">
        <f>G42</f>
        <v>10723.5</v>
      </c>
    </row>
    <row r="44" spans="1:37" x14ac:dyDescent="0.25">
      <c r="C44" s="355"/>
      <c r="F44" s="355"/>
      <c r="G44" s="355"/>
    </row>
    <row r="45" spans="1:37" x14ac:dyDescent="0.25">
      <c r="C45" s="422"/>
      <c r="F45" s="494"/>
      <c r="G45" s="494"/>
      <c r="N45" s="131"/>
      <c r="O45" s="131"/>
      <c r="P45" s="131"/>
      <c r="Q45" s="131"/>
      <c r="R45" s="150">
        <v>2020</v>
      </c>
      <c r="S45" s="150">
        <v>2030</v>
      </c>
      <c r="T45" s="150">
        <v>2050</v>
      </c>
      <c r="U45" s="131"/>
      <c r="V45" s="131" t="s">
        <v>427</v>
      </c>
    </row>
    <row r="46" spans="1:37" x14ac:dyDescent="0.25">
      <c r="A46" s="523" t="s">
        <v>924</v>
      </c>
      <c r="B46" s="523" t="s">
        <v>938</v>
      </c>
      <c r="C46" s="523">
        <f>'H-DRI literature and calcs'!AC67</f>
        <v>60000</v>
      </c>
      <c r="D46" s="523" t="s">
        <v>939</v>
      </c>
      <c r="F46" s="523">
        <f>'H-DRI literature and calcs'!AD67</f>
        <v>75000</v>
      </c>
      <c r="G46" s="523">
        <f>'H-DRI literature and calcs'!AE67</f>
        <v>12500</v>
      </c>
      <c r="N46" s="677" t="s">
        <v>940</v>
      </c>
      <c r="O46" s="131" t="s">
        <v>941</v>
      </c>
      <c r="P46" s="131" t="s">
        <v>534</v>
      </c>
      <c r="Q46" s="131" t="s">
        <v>942</v>
      </c>
      <c r="R46" s="527">
        <f>E65</f>
        <v>16681</v>
      </c>
      <c r="S46" s="527">
        <f>F65</f>
        <v>10127.75</v>
      </c>
      <c r="T46" s="527">
        <f>G65</f>
        <v>8340.5</v>
      </c>
      <c r="U46" s="131"/>
      <c r="V46" s="131"/>
    </row>
    <row r="47" spans="1:37" x14ac:dyDescent="0.25">
      <c r="B47" t="s">
        <v>943</v>
      </c>
      <c r="C47">
        <f>ROUNDUP(C46/(8760*$C$40),0)</f>
        <v>8</v>
      </c>
      <c r="D47" t="s">
        <v>759</v>
      </c>
      <c r="F47">
        <f>ROUNDUP(F46/(8760*$C$40),0)</f>
        <v>10</v>
      </c>
      <c r="G47">
        <f>ROUNDUP(G46/(8760*$C$40),0)</f>
        <v>2</v>
      </c>
      <c r="N47" s="677"/>
      <c r="O47" s="131"/>
      <c r="P47" s="131" t="s">
        <v>533</v>
      </c>
      <c r="Q47" s="131" t="s">
        <v>944</v>
      </c>
      <c r="R47" s="528">
        <f>E70</f>
        <v>6159.9497526283103</v>
      </c>
      <c r="S47" s="528">
        <f>F70</f>
        <v>4927.9598021026477</v>
      </c>
      <c r="T47" s="528">
        <f>G70</f>
        <v>2463.9799010513238</v>
      </c>
      <c r="U47" s="131"/>
      <c r="V47" s="131"/>
    </row>
    <row r="48" spans="1:37" x14ac:dyDescent="0.25">
      <c r="N48" s="677"/>
      <c r="O48" s="131" t="s">
        <v>945</v>
      </c>
      <c r="P48" s="131"/>
      <c r="Q48" s="131" t="s">
        <v>946</v>
      </c>
      <c r="R48" s="131"/>
      <c r="S48" s="131"/>
      <c r="T48" s="131"/>
      <c r="U48" s="131"/>
      <c r="V48" s="131"/>
    </row>
    <row r="49" spans="1:22" x14ac:dyDescent="0.25">
      <c r="A49" s="136" t="s">
        <v>947</v>
      </c>
      <c r="N49" s="677"/>
      <c r="O49" s="131" t="s">
        <v>948</v>
      </c>
      <c r="P49" s="131"/>
      <c r="Q49" s="131" t="s">
        <v>949</v>
      </c>
      <c r="R49" s="529">
        <f>E67</f>
        <v>7.0000000000000007E-2</v>
      </c>
      <c r="S49" s="529">
        <f>F67</f>
        <v>0.05</v>
      </c>
      <c r="T49" s="529">
        <f>G67</f>
        <v>0.05</v>
      </c>
      <c r="U49" s="131"/>
      <c r="V49" s="529" t="str">
        <f>H67</f>
        <v>assumption - same as Mallapragada</v>
      </c>
    </row>
    <row r="50" spans="1:22" x14ac:dyDescent="0.25">
      <c r="C50" s="432"/>
      <c r="F50" s="521">
        <v>2030</v>
      </c>
      <c r="G50" s="521">
        <v>2050</v>
      </c>
      <c r="N50" s="677"/>
      <c r="O50" s="131" t="s">
        <v>745</v>
      </c>
      <c r="P50" s="131" t="s">
        <v>534</v>
      </c>
      <c r="Q50" s="131" t="s">
        <v>950</v>
      </c>
      <c r="R50" s="131">
        <f>E98</f>
        <v>90000</v>
      </c>
      <c r="S50" s="131">
        <f>F98</f>
        <v>100000</v>
      </c>
      <c r="T50" s="131">
        <f>G98</f>
        <v>150000</v>
      </c>
      <c r="U50" s="131"/>
      <c r="V50" s="131"/>
    </row>
    <row r="51" spans="1:22" x14ac:dyDescent="0.25">
      <c r="F51" s="522"/>
      <c r="G51" s="522"/>
      <c r="N51" s="677"/>
      <c r="O51" s="131"/>
      <c r="P51" s="131" t="s">
        <v>533</v>
      </c>
      <c r="Q51" s="131" t="s">
        <v>950</v>
      </c>
      <c r="R51" s="131">
        <f>E72</f>
        <v>60000</v>
      </c>
      <c r="S51" s="131">
        <f>F72</f>
        <v>90000</v>
      </c>
      <c r="T51" s="131">
        <f>G72</f>
        <v>100000</v>
      </c>
      <c r="U51" s="131"/>
      <c r="V51" s="131"/>
    </row>
    <row r="52" spans="1:22" x14ac:dyDescent="0.25">
      <c r="A52" s="523" t="s">
        <v>919</v>
      </c>
      <c r="B52" t="s">
        <v>903</v>
      </c>
      <c r="C52" s="432">
        <f>'[16]Facility technicals and LCOE'!M78*3.6*'Summary Hydrogen DRI new'!B3/1000000</f>
        <v>0</v>
      </c>
      <c r="D52" t="s">
        <v>143</v>
      </c>
      <c r="F52" s="522"/>
      <c r="G52" s="522"/>
      <c r="H52" t="s">
        <v>920</v>
      </c>
      <c r="I52" t="s">
        <v>921</v>
      </c>
      <c r="N52" s="677"/>
      <c r="O52" s="131" t="s">
        <v>932</v>
      </c>
      <c r="P52" s="131" t="s">
        <v>951</v>
      </c>
      <c r="Q52" s="131" t="s">
        <v>265</v>
      </c>
      <c r="R52" s="529">
        <f>C62</f>
        <v>0.9</v>
      </c>
      <c r="S52" s="131"/>
      <c r="T52" s="131"/>
      <c r="U52" s="131"/>
      <c r="V52" s="131" t="s">
        <v>864</v>
      </c>
    </row>
    <row r="53" spans="1:22" x14ac:dyDescent="0.25">
      <c r="B53" t="s">
        <v>922</v>
      </c>
      <c r="C53" s="432">
        <f>C52*'[17]Cost effectiveness'!Z47</f>
        <v>0</v>
      </c>
      <c r="D53" t="s">
        <v>143</v>
      </c>
      <c r="F53" s="522"/>
      <c r="G53" s="522"/>
      <c r="H53" s="512" t="e">
        <f>C53*1000000000/J25</f>
        <v>#DIV/0!</v>
      </c>
      <c r="I53" s="524" t="e">
        <f>H53/1000000000</f>
        <v>#DIV/0!</v>
      </c>
      <c r="N53" s="677"/>
      <c r="O53" s="131" t="s">
        <v>791</v>
      </c>
      <c r="P53" s="131" t="s">
        <v>534</v>
      </c>
      <c r="Q53" s="131"/>
      <c r="R53" s="529">
        <f>C82</f>
        <v>0.7</v>
      </c>
      <c r="S53" s="529">
        <f>F82</f>
        <v>0.71</v>
      </c>
      <c r="T53" s="529">
        <f>G82</f>
        <v>0.8</v>
      </c>
      <c r="U53" s="131"/>
      <c r="V53" s="131"/>
    </row>
    <row r="54" spans="1:22" x14ac:dyDescent="0.25">
      <c r="B54" t="s">
        <v>923</v>
      </c>
      <c r="C54" s="524" t="e">
        <f>I53/J26</f>
        <v>#DIV/0!</v>
      </c>
      <c r="D54" t="s">
        <v>902</v>
      </c>
      <c r="F54" s="522"/>
      <c r="G54" s="522"/>
      <c r="N54" s="677"/>
      <c r="O54" s="131"/>
      <c r="P54" s="131" t="s">
        <v>533</v>
      </c>
      <c r="Q54" s="131"/>
      <c r="R54" s="529">
        <f>C56</f>
        <v>0.63</v>
      </c>
      <c r="S54" s="529">
        <f>F56</f>
        <v>0.65</v>
      </c>
      <c r="T54" s="529">
        <f>G56</f>
        <v>0.7</v>
      </c>
      <c r="U54" s="131"/>
      <c r="V54" s="131"/>
    </row>
    <row r="55" spans="1:22" x14ac:dyDescent="0.25">
      <c r="I55" s="421"/>
      <c r="M55" t="s">
        <v>952</v>
      </c>
    </row>
    <row r="56" spans="1:22" x14ac:dyDescent="0.25">
      <c r="A56" s="523" t="s">
        <v>924</v>
      </c>
      <c r="B56" s="523" t="s">
        <v>925</v>
      </c>
      <c r="C56" s="530">
        <f>'H-DRI literature and calcs'!AF59</f>
        <v>0.63</v>
      </c>
      <c r="D56" s="523"/>
      <c r="E56" s="523"/>
      <c r="F56" s="530">
        <f>'H-DRI literature and calcs'!AG59</f>
        <v>0.65</v>
      </c>
      <c r="G56" s="530">
        <f>'H-DRI literature and calcs'!AH59</f>
        <v>0.7</v>
      </c>
    </row>
    <row r="57" spans="1:22" x14ac:dyDescent="0.25">
      <c r="B57" s="531" t="s">
        <v>926</v>
      </c>
      <c r="C57" s="532">
        <f>1/C56</f>
        <v>1.5873015873015872</v>
      </c>
      <c r="D57" s="532"/>
      <c r="E57" s="532"/>
      <c r="F57" s="532">
        <f>1/F56</f>
        <v>1.5384615384615383</v>
      </c>
      <c r="G57" s="532">
        <f>1/G56</f>
        <v>1.4285714285714286</v>
      </c>
    </row>
    <row r="58" spans="1:22" x14ac:dyDescent="0.25">
      <c r="B58" t="s">
        <v>909</v>
      </c>
      <c r="C58" s="432">
        <f>C53</f>
        <v>0</v>
      </c>
      <c r="D58" t="s">
        <v>927</v>
      </c>
      <c r="F58" s="525">
        <f>C58*(F56/$C$34)</f>
        <v>0</v>
      </c>
      <c r="G58" s="525">
        <f>C58*(G56/$C$34)</f>
        <v>0</v>
      </c>
      <c r="I58" t="s">
        <v>928</v>
      </c>
    </row>
    <row r="59" spans="1:22" x14ac:dyDescent="0.25">
      <c r="B59" t="s">
        <v>909</v>
      </c>
      <c r="C59" s="524" t="e">
        <f>C54</f>
        <v>#DIV/0!</v>
      </c>
      <c r="D59" t="s">
        <v>929</v>
      </c>
      <c r="F59" s="525" t="e">
        <f>C59*(F58/C58)</f>
        <v>#DIV/0!</v>
      </c>
      <c r="G59" s="525" t="e">
        <f>C59*(G58/C58)</f>
        <v>#DIV/0!</v>
      </c>
      <c r="I59" t="s">
        <v>928</v>
      </c>
    </row>
    <row r="60" spans="1:22" x14ac:dyDescent="0.25">
      <c r="B60" t="s">
        <v>909</v>
      </c>
      <c r="C60" s="432">
        <f>C52</f>
        <v>0</v>
      </c>
      <c r="D60" t="s">
        <v>930</v>
      </c>
      <c r="F60" s="522"/>
      <c r="G60" s="522"/>
      <c r="I60" t="s">
        <v>928</v>
      </c>
    </row>
    <row r="62" spans="1:22" x14ac:dyDescent="0.25">
      <c r="A62" s="531" t="s">
        <v>931</v>
      </c>
      <c r="B62" s="531" t="s">
        <v>932</v>
      </c>
      <c r="C62" s="533">
        <f>C40</f>
        <v>0.9</v>
      </c>
      <c r="I62" t="s">
        <v>402</v>
      </c>
    </row>
    <row r="63" spans="1:22" x14ac:dyDescent="0.25">
      <c r="A63" s="523" t="s">
        <v>924</v>
      </c>
      <c r="B63" s="523" t="s">
        <v>933</v>
      </c>
      <c r="C63" s="523">
        <f>'H-DRI literature and calcs'!AF63</f>
        <v>1400</v>
      </c>
      <c r="D63" s="523" t="s">
        <v>793</v>
      </c>
      <c r="E63" s="523"/>
      <c r="F63" s="523">
        <f>'H-DRI literature and calcs'!AG63</f>
        <v>850</v>
      </c>
      <c r="G63" s="523">
        <f>'H-DRI literature and calcs'!AH63</f>
        <v>700</v>
      </c>
      <c r="H63" t="s">
        <v>953</v>
      </c>
    </row>
    <row r="64" spans="1:22" x14ac:dyDescent="0.25">
      <c r="A64" s="526" t="s">
        <v>934</v>
      </c>
      <c r="B64" t="s">
        <v>933</v>
      </c>
      <c r="C64" s="494">
        <f>C63*$B$4</f>
        <v>16681</v>
      </c>
      <c r="D64" t="s">
        <v>935</v>
      </c>
      <c r="F64" s="494">
        <f>F63*$B$4</f>
        <v>10127.75</v>
      </c>
      <c r="G64" s="494">
        <f>G63*$B$4</f>
        <v>8340.5</v>
      </c>
    </row>
    <row r="65" spans="1:10" x14ac:dyDescent="0.25">
      <c r="B65" s="531" t="s">
        <v>914</v>
      </c>
      <c r="C65" s="534">
        <f>C64</f>
        <v>16681</v>
      </c>
      <c r="D65" s="531" t="s">
        <v>937</v>
      </c>
      <c r="E65" s="535">
        <f>C65</f>
        <v>16681</v>
      </c>
      <c r="F65" s="534">
        <f>F64</f>
        <v>10127.75</v>
      </c>
      <c r="G65" s="534">
        <f>G64</f>
        <v>8340.5</v>
      </c>
    </row>
    <row r="67" spans="1:10" x14ac:dyDescent="0.25">
      <c r="B67" t="s">
        <v>954</v>
      </c>
      <c r="C67" s="494"/>
      <c r="E67" s="367">
        <v>7.0000000000000007E-2</v>
      </c>
      <c r="F67" s="367">
        <v>0.05</v>
      </c>
      <c r="G67" s="367">
        <v>0.05</v>
      </c>
      <c r="H67" t="s">
        <v>955</v>
      </c>
    </row>
    <row r="68" spans="1:10" x14ac:dyDescent="0.25">
      <c r="B68" s="531" t="s">
        <v>956</v>
      </c>
      <c r="C68" s="534"/>
      <c r="D68" s="531"/>
      <c r="E68" s="536">
        <f>E67*E65</f>
        <v>1167.67</v>
      </c>
      <c r="F68" s="536">
        <f>F67*F65</f>
        <v>506.38750000000005</v>
      </c>
      <c r="G68" s="536">
        <f>G67*G65</f>
        <v>417.02500000000003</v>
      </c>
    </row>
    <row r="69" spans="1:10" x14ac:dyDescent="0.25">
      <c r="B69" s="523" t="s">
        <v>933</v>
      </c>
      <c r="C69" s="523">
        <f>'H-DRI literature and calcs'!AF62</f>
        <v>500</v>
      </c>
      <c r="D69" s="523" t="s">
        <v>793</v>
      </c>
      <c r="E69" s="523"/>
      <c r="F69" s="523">
        <f>'H-DRI literature and calcs'!AG62</f>
        <v>400</v>
      </c>
      <c r="G69" s="523">
        <f>'H-DRI literature and calcs'!AH62</f>
        <v>200</v>
      </c>
      <c r="H69" s="526" t="s">
        <v>957</v>
      </c>
    </row>
    <row r="70" spans="1:10" x14ac:dyDescent="0.25">
      <c r="C70" s="422">
        <f>C69*[16]Deflators!$G$15*[16]Deflators!$H$8</f>
        <v>6159.9497526283103</v>
      </c>
      <c r="E70" s="422">
        <f>C70</f>
        <v>6159.9497526283103</v>
      </c>
      <c r="F70" s="422">
        <f>F69*[16]Deflators!$G$15*[16]Deflators!$H$8</f>
        <v>4927.9598021026477</v>
      </c>
      <c r="G70" s="422">
        <f>G69*[16]Deflators!$G$15*[16]Deflators!$H$8</f>
        <v>2463.9799010513238</v>
      </c>
    </row>
    <row r="71" spans="1:10" x14ac:dyDescent="0.25">
      <c r="A71" s="523" t="s">
        <v>924</v>
      </c>
      <c r="B71" s="523" t="s">
        <v>938</v>
      </c>
      <c r="C71" s="523">
        <f>'H-DRI literature and calcs'!AF67</f>
        <v>75000</v>
      </c>
      <c r="D71" s="523" t="s">
        <v>939</v>
      </c>
      <c r="F71" s="523">
        <f>'H-DRI literature and calcs'!AG67</f>
        <v>95000</v>
      </c>
      <c r="G71" s="523">
        <f>'H-DRI literature and calcs'!AH67</f>
        <v>125000</v>
      </c>
      <c r="H71" t="s">
        <v>958</v>
      </c>
    </row>
    <row r="72" spans="1:10" x14ac:dyDescent="0.25">
      <c r="A72" s="523"/>
      <c r="B72" s="523"/>
      <c r="C72" s="523"/>
      <c r="D72" s="523" t="s">
        <v>939</v>
      </c>
      <c r="E72">
        <f>'H-DRI literature and calcs'!AF65</f>
        <v>60000</v>
      </c>
      <c r="F72" s="523">
        <f>'H-DRI literature and calcs'!AG65</f>
        <v>90000</v>
      </c>
      <c r="G72" s="523">
        <f>'H-DRI literature and calcs'!AH65</f>
        <v>100000</v>
      </c>
      <c r="H72" t="s">
        <v>957</v>
      </c>
    </row>
    <row r="73" spans="1:10" x14ac:dyDescent="0.25">
      <c r="B73" s="531" t="s">
        <v>943</v>
      </c>
      <c r="C73" s="531">
        <f>ROUNDUP(C71/(8760*$C$62),0)</f>
        <v>10</v>
      </c>
      <c r="D73" s="531" t="s">
        <v>759</v>
      </c>
      <c r="E73" s="531"/>
      <c r="F73" s="531">
        <f>ROUNDUP(F71/(8760*$C$62),0)</f>
        <v>13</v>
      </c>
      <c r="G73" s="531">
        <f>ROUNDUP(G71/(8760*$C$62),0)</f>
        <v>16</v>
      </c>
    </row>
    <row r="75" spans="1:10" x14ac:dyDescent="0.25">
      <c r="A75" s="136" t="s">
        <v>959</v>
      </c>
    </row>
    <row r="76" spans="1:10" x14ac:dyDescent="0.25">
      <c r="C76" s="432"/>
      <c r="F76" s="521">
        <v>2030</v>
      </c>
      <c r="G76" s="521">
        <v>2050</v>
      </c>
    </row>
    <row r="77" spans="1:10" x14ac:dyDescent="0.25">
      <c r="F77" s="522"/>
      <c r="G77" s="522"/>
    </row>
    <row r="78" spans="1:10" x14ac:dyDescent="0.25">
      <c r="A78" s="523" t="s">
        <v>919</v>
      </c>
      <c r="B78" t="s">
        <v>903</v>
      </c>
      <c r="C78" s="432">
        <f>'[16]Facility technicals and LCOE'!M103*3.6*'Summary Hydrogen DRI new'!B51/1000000</f>
        <v>0</v>
      </c>
      <c r="D78" t="s">
        <v>143</v>
      </c>
      <c r="F78" s="522"/>
      <c r="G78" s="522"/>
      <c r="H78" t="s">
        <v>920</v>
      </c>
      <c r="I78" t="s">
        <v>921</v>
      </c>
      <c r="J78" t="s">
        <v>928</v>
      </c>
    </row>
    <row r="79" spans="1:10" x14ac:dyDescent="0.25">
      <c r="B79" t="s">
        <v>922</v>
      </c>
      <c r="C79" s="432">
        <f>C78*'[17]Cost effectiveness'!Z72</f>
        <v>0</v>
      </c>
      <c r="D79" t="s">
        <v>143</v>
      </c>
      <c r="F79" s="522"/>
      <c r="G79" s="522"/>
      <c r="H79" s="512" t="e">
        <f>C79*1000000000/J50</f>
        <v>#DIV/0!</v>
      </c>
      <c r="I79" s="524" t="e">
        <f>H79/1000000000</f>
        <v>#DIV/0!</v>
      </c>
      <c r="J79" t="s">
        <v>928</v>
      </c>
    </row>
    <row r="80" spans="1:10" x14ac:dyDescent="0.25">
      <c r="B80" t="s">
        <v>923</v>
      </c>
      <c r="C80" s="524" t="e">
        <f>I79/J51</f>
        <v>#DIV/0!</v>
      </c>
      <c r="D80" t="s">
        <v>902</v>
      </c>
      <c r="F80" s="522"/>
      <c r="G80" s="522"/>
      <c r="J80" t="s">
        <v>928</v>
      </c>
    </row>
    <row r="81" spans="1:9" x14ac:dyDescent="0.25">
      <c r="I81" s="421"/>
    </row>
    <row r="82" spans="1:9" x14ac:dyDescent="0.25">
      <c r="A82" s="523" t="s">
        <v>924</v>
      </c>
      <c r="B82" s="523" t="s">
        <v>925</v>
      </c>
      <c r="C82" s="530">
        <f>'H-DRI literature and calcs'!AF60</f>
        <v>0.7</v>
      </c>
      <c r="D82" s="523"/>
      <c r="E82" s="523"/>
      <c r="F82" s="530">
        <f>'H-DRI literature and calcs'!AG60</f>
        <v>0.71</v>
      </c>
      <c r="G82" s="530">
        <f>'H-DRI literature and calcs'!AH60</f>
        <v>0.8</v>
      </c>
      <c r="H82" t="s">
        <v>953</v>
      </c>
    </row>
    <row r="83" spans="1:9" x14ac:dyDescent="0.25">
      <c r="B83" s="531" t="s">
        <v>926</v>
      </c>
      <c r="C83" s="532">
        <f>1/C82</f>
        <v>1.4285714285714286</v>
      </c>
      <c r="D83" s="532"/>
      <c r="E83" s="532"/>
      <c r="F83" s="532">
        <f>1/F82</f>
        <v>1.4084507042253522</v>
      </c>
      <c r="G83" s="532">
        <f>1/G82</f>
        <v>1.25</v>
      </c>
    </row>
    <row r="84" spans="1:9" x14ac:dyDescent="0.25">
      <c r="B84" t="s">
        <v>909</v>
      </c>
      <c r="C84" s="432">
        <f>C79</f>
        <v>0</v>
      </c>
      <c r="D84" t="s">
        <v>927</v>
      </c>
      <c r="F84" s="525">
        <f>C84*(F82/$C$34)</f>
        <v>0</v>
      </c>
      <c r="G84" s="525">
        <f>C84*(G82/$C$34)</f>
        <v>0</v>
      </c>
    </row>
    <row r="85" spans="1:9" x14ac:dyDescent="0.25">
      <c r="B85" t="s">
        <v>909</v>
      </c>
      <c r="C85" s="524" t="e">
        <f>C80</f>
        <v>#DIV/0!</v>
      </c>
      <c r="D85" t="s">
        <v>929</v>
      </c>
      <c r="F85" s="525" t="e">
        <f>C85*(F84/C84)</f>
        <v>#DIV/0!</v>
      </c>
      <c r="G85" s="525" t="e">
        <f>C85*(G84/C84)</f>
        <v>#DIV/0!</v>
      </c>
    </row>
    <row r="86" spans="1:9" x14ac:dyDescent="0.25">
      <c r="B86" t="s">
        <v>909</v>
      </c>
      <c r="C86" s="432">
        <f>C78</f>
        <v>0</v>
      </c>
      <c r="D86" t="s">
        <v>930</v>
      </c>
      <c r="F86" s="522"/>
      <c r="G86" s="522"/>
    </row>
    <row r="88" spans="1:9" x14ac:dyDescent="0.25">
      <c r="A88" t="s">
        <v>931</v>
      </c>
      <c r="B88" t="s">
        <v>932</v>
      </c>
      <c r="C88" s="367"/>
    </row>
    <row r="89" spans="1:9" x14ac:dyDescent="0.25">
      <c r="A89" s="523" t="s">
        <v>924</v>
      </c>
      <c r="B89" s="523" t="s">
        <v>933</v>
      </c>
      <c r="C89" s="523">
        <f>'H-DRI literature and calcs'!AF62</f>
        <v>500</v>
      </c>
      <c r="D89" s="523" t="s">
        <v>793</v>
      </c>
      <c r="E89" s="523"/>
      <c r="F89" s="523">
        <f>'H-DRI literature and calcs'!AG62</f>
        <v>400</v>
      </c>
      <c r="G89" s="523">
        <f>'H-DRI literature and calcs'!AH62</f>
        <v>200</v>
      </c>
    </row>
    <row r="90" spans="1:9" x14ac:dyDescent="0.25">
      <c r="A90" s="526" t="s">
        <v>934</v>
      </c>
      <c r="B90" t="s">
        <v>933</v>
      </c>
      <c r="C90" s="494">
        <f>C89*$B$4</f>
        <v>5957.5</v>
      </c>
      <c r="D90" t="s">
        <v>935</v>
      </c>
      <c r="F90" s="494">
        <f>F89*$B$4</f>
        <v>4766</v>
      </c>
      <c r="G90" s="494">
        <f>G89*$B$4</f>
        <v>2383</v>
      </c>
      <c r="H90" t="s">
        <v>960</v>
      </c>
    </row>
    <row r="91" spans="1:9" x14ac:dyDescent="0.25">
      <c r="B91" s="531" t="s">
        <v>914</v>
      </c>
      <c r="C91" s="534">
        <f>C90</f>
        <v>5957.5</v>
      </c>
      <c r="D91" s="531" t="s">
        <v>937</v>
      </c>
      <c r="E91" s="535">
        <f>C91</f>
        <v>5957.5</v>
      </c>
      <c r="F91" s="534">
        <f>F90</f>
        <v>4766</v>
      </c>
      <c r="G91" s="534">
        <f>G90</f>
        <v>2383</v>
      </c>
    </row>
    <row r="92" spans="1:9" x14ac:dyDescent="0.25">
      <c r="C92" s="494"/>
      <c r="F92" s="494"/>
      <c r="G92" s="494"/>
    </row>
    <row r="93" spans="1:9" x14ac:dyDescent="0.25">
      <c r="B93" t="s">
        <v>954</v>
      </c>
      <c r="C93" s="494"/>
      <c r="E93" s="367">
        <v>7.0000000000000007E-2</v>
      </c>
      <c r="F93" s="367">
        <v>0.05</v>
      </c>
      <c r="G93" s="367">
        <v>0.05</v>
      </c>
      <c r="H93" t="s">
        <v>955</v>
      </c>
    </row>
    <row r="94" spans="1:9" x14ac:dyDescent="0.25">
      <c r="B94" s="531" t="s">
        <v>956</v>
      </c>
      <c r="C94" s="534"/>
      <c r="D94" s="531"/>
      <c r="E94" s="536">
        <f>E93*E91</f>
        <v>417.02500000000003</v>
      </c>
      <c r="F94" s="536">
        <f>F93*F91</f>
        <v>238.3</v>
      </c>
      <c r="G94" s="536">
        <f>G93*G91</f>
        <v>119.15</v>
      </c>
    </row>
    <row r="95" spans="1:9" x14ac:dyDescent="0.25">
      <c r="C95" s="355"/>
      <c r="F95" s="355"/>
      <c r="G95" s="355"/>
    </row>
    <row r="96" spans="1:9" x14ac:dyDescent="0.25">
      <c r="C96" s="422"/>
      <c r="F96" s="494"/>
      <c r="G96" s="494"/>
    </row>
    <row r="97" spans="1:25" x14ac:dyDescent="0.25">
      <c r="A97" s="523" t="s">
        <v>924</v>
      </c>
      <c r="B97" s="523" t="s">
        <v>938</v>
      </c>
      <c r="C97" s="523">
        <f>C71</f>
        <v>75000</v>
      </c>
      <c r="D97" s="523" t="s">
        <v>939</v>
      </c>
      <c r="F97" s="523">
        <f>F71</f>
        <v>95000</v>
      </c>
      <c r="G97" s="523">
        <f>G71</f>
        <v>125000</v>
      </c>
      <c r="H97" t="s">
        <v>961</v>
      </c>
    </row>
    <row r="98" spans="1:25" x14ac:dyDescent="0.25">
      <c r="E98">
        <f>'H-DRI literature and calcs'!AF66</f>
        <v>90000</v>
      </c>
      <c r="F98">
        <f>'H-DRI literature and calcs'!AG66</f>
        <v>100000</v>
      </c>
      <c r="G98">
        <f>'H-DRI literature and calcs'!AH66</f>
        <v>150000</v>
      </c>
      <c r="H98" t="s">
        <v>794</v>
      </c>
    </row>
    <row r="99" spans="1:25" x14ac:dyDescent="0.25">
      <c r="B99" s="531" t="s">
        <v>943</v>
      </c>
      <c r="C99" s="531">
        <f>ROUNDUP(C97/(8760*$C$62),0)</f>
        <v>10</v>
      </c>
      <c r="D99" s="531" t="s">
        <v>759</v>
      </c>
      <c r="E99" s="531">
        <f>C99</f>
        <v>10</v>
      </c>
      <c r="F99" s="531">
        <f>ROUNDUP(F97/(8760*$C$62),0)</f>
        <v>13</v>
      </c>
      <c r="G99" s="531">
        <f>ROUNDUP(G97/(8760*$C$62),0)</f>
        <v>16</v>
      </c>
    </row>
    <row r="102" spans="1:25" x14ac:dyDescent="0.25">
      <c r="O102" t="s">
        <v>962</v>
      </c>
      <c r="U102" t="s">
        <v>963</v>
      </c>
    </row>
    <row r="103" spans="1:25" x14ac:dyDescent="0.25">
      <c r="A103" s="11" t="s">
        <v>964</v>
      </c>
      <c r="B103" s="8"/>
      <c r="C103" s="8"/>
      <c r="D103" s="8"/>
      <c r="E103" s="8"/>
      <c r="F103" s="8"/>
      <c r="G103" s="8"/>
      <c r="H103" s="8"/>
      <c r="I103" s="8"/>
      <c r="O103">
        <f>C109</f>
        <v>1.504</v>
      </c>
      <c r="P103" t="s">
        <v>965</v>
      </c>
      <c r="U103" s="537">
        <f>C32*1000000</f>
        <v>408000</v>
      </c>
      <c r="V103" t="s">
        <v>966</v>
      </c>
    </row>
    <row r="104" spans="1:25" x14ac:dyDescent="0.25">
      <c r="F104" s="522"/>
      <c r="G104" s="522"/>
      <c r="O104">
        <f>C108</f>
        <v>0.74400000000000022</v>
      </c>
      <c r="P104" t="s">
        <v>967</v>
      </c>
      <c r="U104" s="355">
        <f>[16]Prices!M70*1000/Y104</f>
        <v>2266.6666666666665</v>
      </c>
      <c r="V104" t="s">
        <v>968</v>
      </c>
      <c r="Y104">
        <v>15</v>
      </c>
    </row>
    <row r="105" spans="1:25" x14ac:dyDescent="0.25">
      <c r="A105" s="516" t="s">
        <v>969</v>
      </c>
      <c r="B105" t="s">
        <v>970</v>
      </c>
      <c r="C105" s="349">
        <f>'[16]Facility technicals and LCOE'!N18*B3*J2/1000000000</f>
        <v>6.12</v>
      </c>
      <c r="D105" t="s">
        <v>143</v>
      </c>
      <c r="F105" s="522"/>
      <c r="G105" s="522"/>
    </row>
    <row r="106" spans="1:25" x14ac:dyDescent="0.25">
      <c r="B106" t="s">
        <v>971</v>
      </c>
      <c r="C106">
        <f>'[16]Facility technicals and LCOE'!M18/1000000</f>
        <v>1.504</v>
      </c>
      <c r="D106" t="s">
        <v>972</v>
      </c>
      <c r="F106" s="522"/>
      <c r="G106" s="522"/>
      <c r="U106" s="494">
        <f>U103*U104</f>
        <v>924799999.99999988</v>
      </c>
      <c r="V106" t="s">
        <v>973</v>
      </c>
    </row>
    <row r="107" spans="1:25" x14ac:dyDescent="0.25">
      <c r="B107" t="s">
        <v>974</v>
      </c>
      <c r="C107" s="348">
        <f>'[16]Facility technicals and LCOE'!M23*B3/1000000</f>
        <v>1</v>
      </c>
      <c r="D107" t="s">
        <v>902</v>
      </c>
      <c r="F107" s="522"/>
      <c r="G107" s="522"/>
      <c r="U107" s="349">
        <f>U106/1000000</f>
        <v>924.79999999999984</v>
      </c>
      <c r="V107" t="s">
        <v>975</v>
      </c>
    </row>
    <row r="108" spans="1:25" x14ac:dyDescent="0.25">
      <c r="B108" s="526" t="s">
        <v>909</v>
      </c>
      <c r="C108" s="526">
        <f>'H-DRI literature and calcs'!AE216*3.6/1.5</f>
        <v>0.74400000000000022</v>
      </c>
      <c r="D108" s="526" t="s">
        <v>976</v>
      </c>
      <c r="E108" s="526" t="s">
        <v>977</v>
      </c>
      <c r="F108" s="538"/>
      <c r="G108" s="538"/>
      <c r="H108" s="526" t="s">
        <v>978</v>
      </c>
    </row>
    <row r="109" spans="1:25" x14ac:dyDescent="0.25">
      <c r="B109" t="s">
        <v>909</v>
      </c>
      <c r="C109">
        <f>C106</f>
        <v>1.504</v>
      </c>
      <c r="D109" t="s">
        <v>38</v>
      </c>
      <c r="F109" s="522"/>
      <c r="G109" s="522"/>
    </row>
    <row r="110" spans="1:25" x14ac:dyDescent="0.25">
      <c r="B110" t="s">
        <v>909</v>
      </c>
      <c r="C110" s="349">
        <f>C105</f>
        <v>6.12</v>
      </c>
      <c r="D110" t="s">
        <v>927</v>
      </c>
    </row>
    <row r="111" spans="1:25" x14ac:dyDescent="0.25">
      <c r="B111" t="s">
        <v>909</v>
      </c>
      <c r="C111" s="348">
        <f>C107</f>
        <v>1</v>
      </c>
      <c r="D111" t="s">
        <v>839</v>
      </c>
    </row>
    <row r="113" spans="1:17" x14ac:dyDescent="0.25">
      <c r="A113" t="s">
        <v>931</v>
      </c>
      <c r="B113" t="s">
        <v>979</v>
      </c>
      <c r="C113" s="367">
        <v>0.9</v>
      </c>
      <c r="D113" t="s">
        <v>980</v>
      </c>
    </row>
    <row r="115" spans="1:17" x14ac:dyDescent="0.25">
      <c r="A115" s="516" t="s">
        <v>911</v>
      </c>
      <c r="B115" s="516" t="s">
        <v>912</v>
      </c>
      <c r="C115" s="516">
        <f>'H-DRI literature and calcs'!AK131</f>
        <v>230</v>
      </c>
      <c r="D115" s="516" t="s">
        <v>863</v>
      </c>
      <c r="N115" s="131"/>
      <c r="O115" s="131"/>
      <c r="P115" s="131">
        <v>2020</v>
      </c>
      <c r="Q115" s="131" t="s">
        <v>427</v>
      </c>
    </row>
    <row r="116" spans="1:17" x14ac:dyDescent="0.25">
      <c r="C116">
        <f>C115*[16]Deflators!D25</f>
        <v>264.5</v>
      </c>
      <c r="D116" t="s">
        <v>664</v>
      </c>
      <c r="N116" s="131" t="s">
        <v>912</v>
      </c>
      <c r="O116" s="131" t="s">
        <v>946</v>
      </c>
      <c r="P116" s="539">
        <f>C118</f>
        <v>3151.5174999999999</v>
      </c>
      <c r="Q116" s="131"/>
    </row>
    <row r="117" spans="1:17" x14ac:dyDescent="0.25">
      <c r="C117" s="488">
        <f>C116*$B$4</f>
        <v>3151.5174999999999</v>
      </c>
      <c r="D117" t="s">
        <v>981</v>
      </c>
      <c r="N117" s="131" t="s">
        <v>945</v>
      </c>
      <c r="O117" s="131"/>
      <c r="P117" s="527">
        <f>C122</f>
        <v>618.86236976156738</v>
      </c>
      <c r="Q117" s="131"/>
    </row>
    <row r="118" spans="1:17" x14ac:dyDescent="0.25">
      <c r="B118" t="s">
        <v>914</v>
      </c>
      <c r="C118" s="432">
        <f>C117</f>
        <v>3151.5174999999999</v>
      </c>
      <c r="D118" t="s">
        <v>915</v>
      </c>
      <c r="N118" s="150" t="s">
        <v>836</v>
      </c>
      <c r="O118" s="131"/>
      <c r="P118" s="131"/>
      <c r="Q118" s="131"/>
    </row>
    <row r="119" spans="1:17" x14ac:dyDescent="0.25">
      <c r="C119" s="432"/>
      <c r="N119" s="131" t="s">
        <v>247</v>
      </c>
      <c r="O119" s="131" t="s">
        <v>982</v>
      </c>
      <c r="P119" s="131">
        <f>C109</f>
        <v>1.504</v>
      </c>
      <c r="Q119" s="131"/>
    </row>
    <row r="120" spans="1:17" x14ac:dyDescent="0.25">
      <c r="B120" t="s">
        <v>983</v>
      </c>
      <c r="C120" s="432"/>
      <c r="N120" s="131" t="s">
        <v>841</v>
      </c>
      <c r="O120" s="131" t="s">
        <v>543</v>
      </c>
      <c r="P120" s="540">
        <f>C105</f>
        <v>6.12</v>
      </c>
      <c r="Q120" s="131"/>
    </row>
    <row r="121" spans="1:17" x14ac:dyDescent="0.25">
      <c r="A121" t="s">
        <v>223</v>
      </c>
      <c r="B121" t="s">
        <v>703</v>
      </c>
      <c r="C121" s="494">
        <f>'[16]AMSA 2018 IA report'!D12*[16]Prices!C52</f>
        <v>725.14525500322793</v>
      </c>
      <c r="D121" t="s">
        <v>916</v>
      </c>
      <c r="N121" s="131" t="s">
        <v>14</v>
      </c>
      <c r="O121" s="131"/>
      <c r="P121" s="131"/>
      <c r="Q121" s="131"/>
    </row>
    <row r="122" spans="1:17" x14ac:dyDescent="0.25">
      <c r="B122" t="s">
        <v>917</v>
      </c>
      <c r="C122" s="494">
        <f>C121*[16]Deflators!H8</f>
        <v>618.86236976156738</v>
      </c>
      <c r="D122" t="s">
        <v>918</v>
      </c>
      <c r="N122" s="131" t="s">
        <v>745</v>
      </c>
      <c r="O122" s="131" t="s">
        <v>747</v>
      </c>
      <c r="P122" s="131">
        <v>20</v>
      </c>
      <c r="Q122" s="131" t="s">
        <v>984</v>
      </c>
    </row>
    <row r="123" spans="1:17" x14ac:dyDescent="0.25">
      <c r="N123" s="131" t="s">
        <v>932</v>
      </c>
      <c r="O123" s="131"/>
      <c r="P123" s="529">
        <v>0.9</v>
      </c>
      <c r="Q123" s="131" t="s">
        <v>985</v>
      </c>
    </row>
    <row r="125" spans="1:17" x14ac:dyDescent="0.25">
      <c r="C125" s="349"/>
    </row>
    <row r="127" spans="1:17" x14ac:dyDescent="0.25">
      <c r="A127" t="s">
        <v>986</v>
      </c>
    </row>
    <row r="129" spans="1:9" x14ac:dyDescent="0.25">
      <c r="A129" t="s">
        <v>987</v>
      </c>
      <c r="C129" s="488">
        <f>[16]Prices!C16</f>
        <v>318.83499999999998</v>
      </c>
      <c r="D129" t="s">
        <v>988</v>
      </c>
    </row>
    <row r="130" spans="1:9" x14ac:dyDescent="0.25">
      <c r="C130">
        <f>C129*[16]Deflators!C15</f>
        <v>4162.2431015000002</v>
      </c>
      <c r="D130" t="s">
        <v>981</v>
      </c>
    </row>
    <row r="136" spans="1:9" x14ac:dyDescent="0.25">
      <c r="A136" s="11" t="s">
        <v>797</v>
      </c>
      <c r="B136" s="8"/>
      <c r="C136" s="8"/>
      <c r="D136" s="8"/>
      <c r="E136" s="8"/>
      <c r="F136" s="8"/>
      <c r="G136" s="8"/>
      <c r="H136" s="8"/>
      <c r="I136" s="8"/>
    </row>
    <row r="149" spans="10:10" x14ac:dyDescent="0.25">
      <c r="J149" s="494"/>
    </row>
    <row r="150" spans="10:10" x14ac:dyDescent="0.25">
      <c r="J150" s="494"/>
    </row>
    <row r="151" spans="10:10" x14ac:dyDescent="0.25">
      <c r="J151" s="494"/>
    </row>
  </sheetData>
  <mergeCells count="2">
    <mergeCell ref="U15:V15"/>
    <mergeCell ref="N46:N54"/>
  </mergeCells>
  <hyperlinks>
    <hyperlink ref="C5" r:id="rId1" xr:uid="{5AB7E1B3-B314-4F31-8425-9CE297D5AD33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3E099-B428-445C-8919-3521703A7B98}">
  <sheetPr>
    <tabColor rgb="FF92D050"/>
  </sheetPr>
  <dimension ref="A1:AK151"/>
  <sheetViews>
    <sheetView workbookViewId="0">
      <selection activeCell="L35" sqref="L35"/>
    </sheetView>
  </sheetViews>
  <sheetFormatPr defaultRowHeight="15" x14ac:dyDescent="0.25"/>
  <cols>
    <col min="1" max="1" width="14.5703125" customWidth="1"/>
    <col min="2" max="2" width="18.85546875" customWidth="1"/>
    <col min="3" max="3" width="14.85546875" customWidth="1"/>
    <col min="5" max="5" width="9.5703125" bestFit="1" customWidth="1"/>
    <col min="6" max="7" width="10.28515625" bestFit="1" customWidth="1"/>
    <col min="8" max="8" width="11.7109375" customWidth="1"/>
    <col min="9" max="9" width="13.7109375" bestFit="1" customWidth="1"/>
    <col min="10" max="10" width="25.85546875" customWidth="1"/>
    <col min="11" max="11" width="13.140625" bestFit="1" customWidth="1"/>
    <col min="12" max="15" width="6.85546875" customWidth="1"/>
    <col min="16" max="16" width="8.85546875" customWidth="1"/>
    <col min="17" max="17" width="6.85546875" customWidth="1"/>
    <col min="18" max="18" width="9.140625" customWidth="1"/>
    <col min="19" max="19" width="9.28515625" customWidth="1"/>
    <col min="20" max="20" width="8.42578125" customWidth="1"/>
    <col min="21" max="21" width="13.7109375" customWidth="1"/>
    <col min="22" max="25" width="6.85546875" customWidth="1"/>
    <col min="26" max="38" width="7" customWidth="1"/>
  </cols>
  <sheetData>
    <row r="1" spans="1:37" x14ac:dyDescent="0.25">
      <c r="B1" t="s">
        <v>894</v>
      </c>
      <c r="I1" t="s">
        <v>895</v>
      </c>
      <c r="J1">
        <f>1000000*3600/1000000000000000</f>
        <v>3.5999999999999998E-6</v>
      </c>
      <c r="K1" t="s">
        <v>896</v>
      </c>
    </row>
    <row r="2" spans="1:37" x14ac:dyDescent="0.25">
      <c r="B2" t="s">
        <v>897</v>
      </c>
      <c r="I2" t="s">
        <v>841</v>
      </c>
      <c r="J2">
        <f>'H-DRI literature and calcs'!AO130</f>
        <v>120</v>
      </c>
      <c r="K2" t="s">
        <v>435</v>
      </c>
    </row>
    <row r="3" spans="1:37" x14ac:dyDescent="0.25">
      <c r="B3" s="515">
        <v>1</v>
      </c>
      <c r="C3" s="507" t="s">
        <v>898</v>
      </c>
      <c r="I3" t="s">
        <v>899</v>
      </c>
      <c r="J3">
        <f>1/8</f>
        <v>0.125</v>
      </c>
    </row>
    <row r="4" spans="1:37" ht="15.75" thickBot="1" x14ac:dyDescent="0.3">
      <c r="B4">
        <v>11.914999999999999</v>
      </c>
      <c r="C4" t="s">
        <v>900</v>
      </c>
    </row>
    <row r="5" spans="1:37" x14ac:dyDescent="0.25">
      <c r="A5" t="s">
        <v>1000</v>
      </c>
      <c r="B5">
        <v>1.1499999999999999</v>
      </c>
      <c r="C5" s="132" t="s">
        <v>821</v>
      </c>
      <c r="K5" s="434"/>
      <c r="L5" s="435"/>
      <c r="M5" s="435"/>
      <c r="N5" s="435"/>
      <c r="O5" s="435"/>
      <c r="P5" s="435"/>
      <c r="Q5" s="435"/>
      <c r="R5" s="435"/>
      <c r="S5" s="435"/>
      <c r="T5" s="435"/>
      <c r="U5" s="435"/>
      <c r="V5" s="435"/>
      <c r="W5" s="435"/>
      <c r="X5" s="435"/>
      <c r="Y5" s="435"/>
      <c r="Z5" s="435"/>
      <c r="AA5" s="435"/>
      <c r="AB5" s="435"/>
      <c r="AC5" s="435"/>
      <c r="AD5" s="435"/>
      <c r="AE5" s="435"/>
      <c r="AF5" s="435"/>
      <c r="AG5" s="435"/>
      <c r="AH5" s="435"/>
      <c r="AI5" s="435"/>
      <c r="AJ5" s="435"/>
      <c r="AK5" s="436"/>
    </row>
    <row r="6" spans="1:37" x14ac:dyDescent="0.25">
      <c r="B6" s="355">
        <v>0.85343228200371057</v>
      </c>
      <c r="C6" t="s">
        <v>1001</v>
      </c>
      <c r="K6" s="437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438"/>
    </row>
    <row r="7" spans="1:37" x14ac:dyDescent="0.25">
      <c r="A7" s="11" t="s">
        <v>999</v>
      </c>
      <c r="B7" s="8"/>
      <c r="C7" s="8"/>
      <c r="D7" s="8"/>
      <c r="E7" s="8"/>
      <c r="F7" s="8"/>
      <c r="G7" s="8"/>
      <c r="H7" s="8"/>
      <c r="I7" s="8"/>
      <c r="K7" s="437"/>
      <c r="AK7" s="438"/>
    </row>
    <row r="8" spans="1:37" x14ac:dyDescent="0.25">
      <c r="A8" s="516" t="s">
        <v>901</v>
      </c>
      <c r="B8" t="s">
        <v>998</v>
      </c>
      <c r="C8" s="355">
        <v>1</v>
      </c>
      <c r="D8" t="s">
        <v>902</v>
      </c>
      <c r="K8" s="437"/>
      <c r="AK8" s="438"/>
    </row>
    <row r="9" spans="1:37" x14ac:dyDescent="0.25">
      <c r="B9" t="s">
        <v>903</v>
      </c>
      <c r="C9" s="421">
        <f>'H-DRI literature and calcs'!AG137*1000000*J1</f>
        <v>2.7107999999999999</v>
      </c>
      <c r="D9" t="s">
        <v>143</v>
      </c>
      <c r="K9" s="437"/>
      <c r="AK9" s="438"/>
    </row>
    <row r="10" spans="1:37" x14ac:dyDescent="0.25">
      <c r="B10" s="550" t="s">
        <v>904</v>
      </c>
      <c r="C10" s="551">
        <v>0</v>
      </c>
      <c r="D10" s="550" t="s">
        <v>902</v>
      </c>
      <c r="E10" s="550"/>
      <c r="K10" s="437"/>
      <c r="AK10" s="438"/>
    </row>
    <row r="11" spans="1:37" x14ac:dyDescent="0.25">
      <c r="B11" s="550" t="s">
        <v>905</v>
      </c>
      <c r="C11" s="550">
        <f>'[16]Facility technicals and LCOE'!E23/1000000</f>
        <v>1</v>
      </c>
      <c r="D11" s="550" t="s">
        <v>902</v>
      </c>
      <c r="E11" s="550"/>
      <c r="F11" s="550"/>
      <c r="K11" s="437"/>
      <c r="AK11" s="438"/>
    </row>
    <row r="12" spans="1:37" x14ac:dyDescent="0.25">
      <c r="K12" s="437"/>
      <c r="AK12" s="438"/>
    </row>
    <row r="13" spans="1:37" x14ac:dyDescent="0.25">
      <c r="B13" t="s">
        <v>906</v>
      </c>
      <c r="C13" s="355">
        <f>C8+C9</f>
        <v>3.7107999999999999</v>
      </c>
      <c r="D13" t="s">
        <v>907</v>
      </c>
      <c r="K13" s="437"/>
      <c r="AK13" s="438"/>
    </row>
    <row r="14" spans="1:37" x14ac:dyDescent="0.25">
      <c r="B14" t="s">
        <v>908</v>
      </c>
      <c r="C14" s="421">
        <f>C8/C13</f>
        <v>0.26948366928964107</v>
      </c>
      <c r="D14" t="s">
        <v>839</v>
      </c>
      <c r="K14" s="437"/>
      <c r="S14" s="517"/>
      <c r="AK14" s="438"/>
    </row>
    <row r="15" spans="1:37" x14ac:dyDescent="0.25">
      <c r="B15" t="s">
        <v>908</v>
      </c>
      <c r="C15" s="421">
        <f>C9/C13</f>
        <v>0.73051633071035893</v>
      </c>
      <c r="D15" t="s">
        <v>39</v>
      </c>
      <c r="K15" s="437"/>
      <c r="O15" s="518"/>
      <c r="U15" s="676"/>
      <c r="V15" s="676"/>
      <c r="Y15" s="518"/>
      <c r="AK15" s="438"/>
    </row>
    <row r="16" spans="1:37" x14ac:dyDescent="0.25">
      <c r="K16" s="437"/>
      <c r="S16" s="518"/>
      <c r="AK16" s="438"/>
    </row>
    <row r="17" spans="1:37" x14ac:dyDescent="0.25">
      <c r="B17" s="550" t="s">
        <v>909</v>
      </c>
      <c r="C17" s="550"/>
      <c r="D17" s="550" t="s">
        <v>910</v>
      </c>
      <c r="E17" s="550"/>
      <c r="K17" s="437"/>
      <c r="Z17" s="518"/>
      <c r="AK17" s="438"/>
    </row>
    <row r="18" spans="1:37" ht="18.75" x14ac:dyDescent="0.25">
      <c r="K18" s="437"/>
      <c r="AD18" s="519"/>
      <c r="AK18" s="438"/>
    </row>
    <row r="19" spans="1:37" x14ac:dyDescent="0.25">
      <c r="A19" s="516" t="s">
        <v>911</v>
      </c>
      <c r="B19" s="516" t="s">
        <v>912</v>
      </c>
      <c r="C19" s="516">
        <f>'H-DRI literature and calcs'!AG131</f>
        <v>184</v>
      </c>
      <c r="D19" s="516" t="s">
        <v>863</v>
      </c>
      <c r="K19" s="437"/>
      <c r="Z19" s="518"/>
      <c r="AK19" s="438"/>
    </row>
    <row r="20" spans="1:37" x14ac:dyDescent="0.25">
      <c r="C20">
        <f>C19*B5</f>
        <v>211.6</v>
      </c>
      <c r="D20" t="s">
        <v>685</v>
      </c>
      <c r="K20" s="437"/>
      <c r="AK20" s="438"/>
    </row>
    <row r="21" spans="1:37" x14ac:dyDescent="0.25">
      <c r="B21" t="s">
        <v>914</v>
      </c>
      <c r="C21" s="494">
        <f>C20*B4</f>
        <v>2521.2139999999999</v>
      </c>
      <c r="D21" t="s">
        <v>913</v>
      </c>
      <c r="K21" s="437"/>
      <c r="AK21" s="438"/>
    </row>
    <row r="22" spans="1:37" x14ac:dyDescent="0.25">
      <c r="B22" s="550"/>
      <c r="C22" s="553">
        <f>C21</f>
        <v>2521.2139999999999</v>
      </c>
      <c r="D22" s="550" t="s">
        <v>915</v>
      </c>
      <c r="E22" s="550"/>
      <c r="K22" s="520"/>
      <c r="AK22" s="438"/>
    </row>
    <row r="23" spans="1:37" x14ac:dyDescent="0.25">
      <c r="A23" t="s">
        <v>223</v>
      </c>
      <c r="B23" t="s">
        <v>703</v>
      </c>
      <c r="C23" s="494">
        <f>'AMSA reports'!O13*H23</f>
        <v>725.14525500322793</v>
      </c>
      <c r="D23" t="s">
        <v>916</v>
      </c>
      <c r="H23" s="367">
        <v>0.5</v>
      </c>
      <c r="I23" t="s">
        <v>1016</v>
      </c>
      <c r="K23" s="437"/>
      <c r="AK23" s="438"/>
    </row>
    <row r="24" spans="1:37" x14ac:dyDescent="0.25">
      <c r="B24" t="s">
        <v>917</v>
      </c>
      <c r="C24" s="494">
        <f>C23*B6</f>
        <v>618.86236976156738</v>
      </c>
      <c r="D24" t="s">
        <v>918</v>
      </c>
      <c r="K24" s="437"/>
      <c r="AK24" s="438"/>
    </row>
    <row r="25" spans="1:37" x14ac:dyDescent="0.25">
      <c r="K25" s="437"/>
      <c r="AK25" s="438"/>
    </row>
    <row r="26" spans="1:37" x14ac:dyDescent="0.25">
      <c r="K26" s="437"/>
      <c r="AK26" s="438"/>
    </row>
    <row r="27" spans="1:37" x14ac:dyDescent="0.25">
      <c r="A27" s="11" t="s">
        <v>1017</v>
      </c>
      <c r="B27" s="8"/>
      <c r="C27" s="8"/>
      <c r="D27" s="8"/>
      <c r="E27" s="8"/>
      <c r="F27" s="8"/>
      <c r="G27" s="8"/>
      <c r="H27" s="8"/>
      <c r="I27" s="8"/>
      <c r="K27" s="437"/>
      <c r="AK27" s="438"/>
    </row>
    <row r="28" spans="1:37" x14ac:dyDescent="0.25">
      <c r="C28" s="432"/>
      <c r="E28" s="136">
        <v>2020</v>
      </c>
      <c r="F28" s="521">
        <v>2030</v>
      </c>
      <c r="G28" s="521">
        <v>2050</v>
      </c>
      <c r="K28" s="437"/>
      <c r="AK28" s="438"/>
    </row>
    <row r="29" spans="1:37" x14ac:dyDescent="0.25">
      <c r="F29" s="522"/>
      <c r="G29" s="522"/>
      <c r="K29" s="437"/>
      <c r="AK29" s="438"/>
    </row>
    <row r="30" spans="1:37" x14ac:dyDescent="0.25">
      <c r="A30" s="523" t="s">
        <v>924</v>
      </c>
      <c r="B30" t="s">
        <v>903</v>
      </c>
      <c r="C30" s="432">
        <f>'[16]Facility technicals and LCOE'!M56*3.6*'Summary Hydrogen DRI'!B3/1000000</f>
        <v>10.928571428571427</v>
      </c>
      <c r="D30" t="s">
        <v>143</v>
      </c>
      <c r="F30" s="522"/>
      <c r="G30" s="522"/>
      <c r="H30" t="s">
        <v>920</v>
      </c>
      <c r="I30" t="s">
        <v>921</v>
      </c>
      <c r="K30" s="437"/>
      <c r="AK30" s="438"/>
    </row>
    <row r="31" spans="1:37" x14ac:dyDescent="0.25">
      <c r="B31" t="s">
        <v>922</v>
      </c>
      <c r="C31" s="432">
        <f>C30*C34</f>
        <v>6.12</v>
      </c>
      <c r="D31" t="s">
        <v>143</v>
      </c>
      <c r="F31" s="522"/>
      <c r="G31" s="522"/>
      <c r="H31" s="512">
        <f>C31*1000000000/J2</f>
        <v>51000000</v>
      </c>
      <c r="I31" s="524">
        <f>H31/1000000000</f>
        <v>5.0999999999999997E-2</v>
      </c>
      <c r="K31" s="437"/>
      <c r="AK31" s="438"/>
    </row>
    <row r="32" spans="1:37" x14ac:dyDescent="0.25">
      <c r="B32" t="s">
        <v>923</v>
      </c>
      <c r="C32" s="524">
        <f>I31/J3</f>
        <v>0.40799999999999997</v>
      </c>
      <c r="D32" t="s">
        <v>902</v>
      </c>
      <c r="F32" s="522"/>
      <c r="G32" s="522"/>
      <c r="K32" s="437"/>
      <c r="AK32" s="438"/>
    </row>
    <row r="33" spans="1:37" x14ac:dyDescent="0.25">
      <c r="I33" s="421"/>
      <c r="K33" s="437"/>
      <c r="AK33" s="438"/>
    </row>
    <row r="34" spans="1:37" x14ac:dyDescent="0.25">
      <c r="A34" s="523" t="s">
        <v>924</v>
      </c>
      <c r="B34" s="523" t="s">
        <v>925</v>
      </c>
      <c r="C34" s="523">
        <f>'H-DRI literature and calcs'!AC59</f>
        <v>0.56000000000000005</v>
      </c>
      <c r="D34" s="523"/>
      <c r="E34" s="523"/>
      <c r="F34" s="523">
        <f>'H-DRI literature and calcs'!AD59</f>
        <v>0.63</v>
      </c>
      <c r="G34" s="523">
        <f>'H-DRI literature and calcs'!AE59</f>
        <v>0.67</v>
      </c>
      <c r="K34" s="437"/>
      <c r="AK34" s="438"/>
    </row>
    <row r="35" spans="1:37" x14ac:dyDescent="0.25">
      <c r="B35" t="s">
        <v>926</v>
      </c>
      <c r="C35" s="355">
        <f>1/C34</f>
        <v>1.7857142857142856</v>
      </c>
      <c r="D35" s="355"/>
      <c r="E35" s="355"/>
      <c r="F35" s="355">
        <f>1/F34</f>
        <v>1.5873015873015872</v>
      </c>
      <c r="G35" s="355">
        <f>1/G34</f>
        <v>1.4925373134328357</v>
      </c>
      <c r="K35" s="437"/>
      <c r="AK35" s="438"/>
    </row>
    <row r="36" spans="1:37" x14ac:dyDescent="0.25">
      <c r="B36" t="s">
        <v>909</v>
      </c>
      <c r="C36" s="432">
        <f>C31</f>
        <v>6.12</v>
      </c>
      <c r="D36" t="s">
        <v>927</v>
      </c>
      <c r="F36" s="525">
        <f>C36*(F34/$C$34)</f>
        <v>6.8849999999999998</v>
      </c>
      <c r="G36" s="525">
        <f>C36*(G34/$C$34)</f>
        <v>7.3221428571428575</v>
      </c>
      <c r="I36" t="s">
        <v>928</v>
      </c>
      <c r="K36" s="437"/>
      <c r="AK36" s="438"/>
    </row>
    <row r="37" spans="1:37" x14ac:dyDescent="0.25">
      <c r="B37" t="s">
        <v>909</v>
      </c>
      <c r="C37" s="524">
        <f>C32</f>
        <v>0.40799999999999997</v>
      </c>
      <c r="D37" t="s">
        <v>929</v>
      </c>
      <c r="F37" s="525">
        <f>C37*(F36/C36)</f>
        <v>0.45899999999999996</v>
      </c>
      <c r="G37" s="525">
        <f>C37*(G36/C36)</f>
        <v>0.4881428571428571</v>
      </c>
      <c r="I37" t="s">
        <v>928</v>
      </c>
      <c r="K37" s="437"/>
      <c r="AK37" s="438"/>
    </row>
    <row r="38" spans="1:37" x14ac:dyDescent="0.25">
      <c r="B38" t="s">
        <v>909</v>
      </c>
      <c r="C38" s="432">
        <f>C30</f>
        <v>10.928571428571427</v>
      </c>
      <c r="D38" t="s">
        <v>930</v>
      </c>
      <c r="F38" s="522"/>
      <c r="G38" s="522"/>
      <c r="I38" t="s">
        <v>928</v>
      </c>
      <c r="K38" s="437"/>
      <c r="AK38" s="438"/>
    </row>
    <row r="39" spans="1:37" ht="15.75" thickBot="1" x14ac:dyDescent="0.3">
      <c r="K39" s="440"/>
      <c r="L39" s="441"/>
      <c r="M39" s="441"/>
      <c r="N39" s="441"/>
      <c r="O39" s="441"/>
      <c r="P39" s="441"/>
      <c r="Q39" s="441"/>
      <c r="R39" s="441"/>
      <c r="S39" s="441"/>
      <c r="T39" s="441"/>
      <c r="U39" s="441"/>
      <c r="V39" s="441"/>
      <c r="W39" s="441"/>
      <c r="X39" s="441"/>
      <c r="Y39" s="441"/>
      <c r="Z39" s="441"/>
      <c r="AA39" s="441"/>
      <c r="AB39" s="441"/>
      <c r="AC39" s="441"/>
      <c r="AD39" s="441"/>
      <c r="AE39" s="441"/>
      <c r="AF39" s="441"/>
      <c r="AG39" s="441"/>
      <c r="AH39" s="441"/>
      <c r="AI39" s="441"/>
      <c r="AJ39" s="441"/>
      <c r="AK39" s="442"/>
    </row>
    <row r="40" spans="1:37" x14ac:dyDescent="0.25">
      <c r="A40" t="s">
        <v>931</v>
      </c>
      <c r="B40" t="s">
        <v>932</v>
      </c>
      <c r="C40" s="367">
        <f>'[16]Facility technicals and LCOE'!AA24</f>
        <v>0.9</v>
      </c>
    </row>
    <row r="41" spans="1:37" x14ac:dyDescent="0.25">
      <c r="A41" s="523" t="s">
        <v>924</v>
      </c>
      <c r="B41" s="523" t="s">
        <v>933</v>
      </c>
      <c r="C41" s="523">
        <f>'H-DRI literature and calcs'!AC63</f>
        <v>1800</v>
      </c>
      <c r="D41" s="523" t="s">
        <v>793</v>
      </c>
      <c r="E41" s="523"/>
      <c r="F41" s="523">
        <f>'H-DRI literature and calcs'!AD63</f>
        <v>1500</v>
      </c>
      <c r="G41" s="523">
        <f>'H-DRI literature and calcs'!AE63</f>
        <v>900</v>
      </c>
    </row>
    <row r="42" spans="1:37" x14ac:dyDescent="0.25">
      <c r="A42" s="526" t="s">
        <v>934</v>
      </c>
      <c r="B42" t="s">
        <v>933</v>
      </c>
      <c r="C42" s="494">
        <f>C41*$B$4</f>
        <v>21447</v>
      </c>
      <c r="D42" t="s">
        <v>935</v>
      </c>
      <c r="F42" s="494">
        <f>F41*$B$4</f>
        <v>17872.5</v>
      </c>
      <c r="G42" s="494">
        <f>G41*$B$4</f>
        <v>10723.5</v>
      </c>
      <c r="L42" s="136" t="s">
        <v>936</v>
      </c>
    </row>
    <row r="43" spans="1:37" x14ac:dyDescent="0.25">
      <c r="B43" t="s">
        <v>914</v>
      </c>
      <c r="C43" s="494">
        <f>C42</f>
        <v>21447</v>
      </c>
      <c r="D43" t="s">
        <v>937</v>
      </c>
      <c r="F43" s="494">
        <f>F42</f>
        <v>17872.5</v>
      </c>
      <c r="G43" s="494">
        <f>G42</f>
        <v>10723.5</v>
      </c>
    </row>
    <row r="44" spans="1:37" x14ac:dyDescent="0.25">
      <c r="C44" s="355"/>
      <c r="F44" s="355"/>
      <c r="G44" s="355"/>
    </row>
    <row r="45" spans="1:37" x14ac:dyDescent="0.25">
      <c r="C45" s="422"/>
      <c r="F45" s="494"/>
      <c r="G45" s="494"/>
      <c r="N45" s="131"/>
      <c r="O45" s="131"/>
      <c r="P45" s="131"/>
      <c r="Q45" s="131"/>
      <c r="R45" s="150">
        <v>2020</v>
      </c>
      <c r="S45" s="150">
        <v>2030</v>
      </c>
      <c r="T45" s="150">
        <v>2050</v>
      </c>
      <c r="U45" s="131"/>
      <c r="V45" s="131" t="s">
        <v>427</v>
      </c>
    </row>
    <row r="46" spans="1:37" x14ac:dyDescent="0.25">
      <c r="A46" s="523" t="s">
        <v>924</v>
      </c>
      <c r="B46" s="523" t="s">
        <v>938</v>
      </c>
      <c r="C46" s="523">
        <f>'H-DRI literature and calcs'!AC67</f>
        <v>60000</v>
      </c>
      <c r="D46" s="523" t="s">
        <v>939</v>
      </c>
      <c r="F46" s="523">
        <f>'H-DRI literature and calcs'!AD67</f>
        <v>75000</v>
      </c>
      <c r="G46" s="523">
        <f>'H-DRI literature and calcs'!AE67</f>
        <v>12500</v>
      </c>
      <c r="N46" s="677" t="s">
        <v>940</v>
      </c>
      <c r="O46" s="131" t="s">
        <v>941</v>
      </c>
      <c r="P46" s="131" t="s">
        <v>534</v>
      </c>
      <c r="Q46" s="131" t="s">
        <v>942</v>
      </c>
      <c r="R46" s="527">
        <f>E65</f>
        <v>16681</v>
      </c>
      <c r="S46" s="527">
        <f>F65</f>
        <v>10127.75</v>
      </c>
      <c r="T46" s="527">
        <f>G65</f>
        <v>8340.5</v>
      </c>
      <c r="U46" s="131"/>
      <c r="V46" s="131"/>
    </row>
    <row r="47" spans="1:37" x14ac:dyDescent="0.25">
      <c r="B47" t="s">
        <v>943</v>
      </c>
      <c r="C47">
        <f>ROUNDUP(C46/(8760*$C$40),0)</f>
        <v>8</v>
      </c>
      <c r="D47" t="s">
        <v>759</v>
      </c>
      <c r="F47">
        <f>ROUNDUP(F46/(8760*$C$40),0)</f>
        <v>10</v>
      </c>
      <c r="G47">
        <f>ROUNDUP(G46/(8760*$C$40),0)</f>
        <v>2</v>
      </c>
      <c r="N47" s="677"/>
      <c r="O47" s="131"/>
      <c r="P47" s="131" t="s">
        <v>533</v>
      </c>
      <c r="Q47" s="131" t="s">
        <v>944</v>
      </c>
      <c r="R47" s="528">
        <f>E70</f>
        <v>6159.9497526283103</v>
      </c>
      <c r="S47" s="528">
        <f>F70</f>
        <v>4927.9598021026477</v>
      </c>
      <c r="T47" s="528">
        <f>G70</f>
        <v>2463.9799010513238</v>
      </c>
      <c r="U47" s="131"/>
      <c r="V47" s="131"/>
    </row>
    <row r="48" spans="1:37" x14ac:dyDescent="0.25">
      <c r="N48" s="677"/>
      <c r="O48" s="131" t="s">
        <v>945</v>
      </c>
      <c r="P48" s="131"/>
      <c r="Q48" s="131" t="s">
        <v>946</v>
      </c>
      <c r="R48" s="131"/>
      <c r="S48" s="131"/>
      <c r="T48" s="131"/>
      <c r="U48" s="131"/>
      <c r="V48" s="131"/>
    </row>
    <row r="49" spans="1:22" x14ac:dyDescent="0.25">
      <c r="A49" s="136" t="s">
        <v>947</v>
      </c>
      <c r="N49" s="677"/>
      <c r="O49" s="131" t="s">
        <v>948</v>
      </c>
      <c r="P49" s="131"/>
      <c r="Q49" s="131" t="s">
        <v>949</v>
      </c>
      <c r="R49" s="529">
        <f>E67</f>
        <v>7.0000000000000007E-2</v>
      </c>
      <c r="S49" s="529">
        <f>F67</f>
        <v>0.05</v>
      </c>
      <c r="T49" s="529">
        <f>G67</f>
        <v>0.05</v>
      </c>
      <c r="U49" s="131"/>
      <c r="V49" s="529" t="str">
        <f>H67</f>
        <v>assumption - same as Mallapragada</v>
      </c>
    </row>
    <row r="50" spans="1:22" x14ac:dyDescent="0.25">
      <c r="C50" s="432"/>
      <c r="F50" s="521">
        <v>2030</v>
      </c>
      <c r="G50" s="521">
        <v>2050</v>
      </c>
      <c r="N50" s="677"/>
      <c r="O50" s="131" t="s">
        <v>745</v>
      </c>
      <c r="P50" s="131" t="s">
        <v>534</v>
      </c>
      <c r="Q50" s="131" t="s">
        <v>950</v>
      </c>
      <c r="R50" s="131">
        <f>E98</f>
        <v>90000</v>
      </c>
      <c r="S50" s="131">
        <f>F98</f>
        <v>100000</v>
      </c>
      <c r="T50" s="131">
        <f>G98</f>
        <v>150000</v>
      </c>
      <c r="U50" s="131"/>
      <c r="V50" s="131"/>
    </row>
    <row r="51" spans="1:22" x14ac:dyDescent="0.25">
      <c r="F51" s="522"/>
      <c r="G51" s="522"/>
      <c r="N51" s="677"/>
      <c r="O51" s="131"/>
      <c r="P51" s="131" t="s">
        <v>533</v>
      </c>
      <c r="Q51" s="131" t="s">
        <v>950</v>
      </c>
      <c r="R51" s="131">
        <f>E72</f>
        <v>60000</v>
      </c>
      <c r="S51" s="131">
        <f>F72</f>
        <v>90000</v>
      </c>
      <c r="T51" s="131">
        <f>G72</f>
        <v>100000</v>
      </c>
      <c r="U51" s="131"/>
      <c r="V51" s="131"/>
    </row>
    <row r="52" spans="1:22" x14ac:dyDescent="0.25">
      <c r="A52" s="523" t="s">
        <v>919</v>
      </c>
      <c r="B52" t="s">
        <v>903</v>
      </c>
      <c r="C52" s="432">
        <f>'[16]Facility technicals and LCOE'!M78*3.6*'Summary Hydrogen DRI'!B3/1000000</f>
        <v>0</v>
      </c>
      <c r="D52" t="s">
        <v>143</v>
      </c>
      <c r="F52" s="522"/>
      <c r="G52" s="522"/>
      <c r="H52" t="s">
        <v>920</v>
      </c>
      <c r="I52" t="s">
        <v>921</v>
      </c>
      <c r="N52" s="677"/>
      <c r="O52" s="131" t="s">
        <v>932</v>
      </c>
      <c r="P52" s="131" t="s">
        <v>951</v>
      </c>
      <c r="Q52" s="131" t="s">
        <v>265</v>
      </c>
      <c r="R52" s="529">
        <f>C62</f>
        <v>0.9</v>
      </c>
      <c r="S52" s="131"/>
      <c r="T52" s="131"/>
      <c r="U52" s="131"/>
      <c r="V52" s="131" t="s">
        <v>864</v>
      </c>
    </row>
    <row r="53" spans="1:22" x14ac:dyDescent="0.25">
      <c r="B53" t="s">
        <v>922</v>
      </c>
      <c r="C53" s="432">
        <f>C52*'[17]Cost effectiveness'!Z47</f>
        <v>0</v>
      </c>
      <c r="D53" t="s">
        <v>143</v>
      </c>
      <c r="F53" s="522"/>
      <c r="G53" s="522"/>
      <c r="H53" s="512" t="e">
        <f>C53*1000000000/J25</f>
        <v>#DIV/0!</v>
      </c>
      <c r="I53" s="524" t="e">
        <f>H53/1000000000</f>
        <v>#DIV/0!</v>
      </c>
      <c r="N53" s="677"/>
      <c r="O53" s="131" t="s">
        <v>791</v>
      </c>
      <c r="P53" s="131" t="s">
        <v>534</v>
      </c>
      <c r="Q53" s="131"/>
      <c r="R53" s="529">
        <f>C82</f>
        <v>0.7</v>
      </c>
      <c r="S53" s="529">
        <f>F82</f>
        <v>0.71</v>
      </c>
      <c r="T53" s="529">
        <f>G82</f>
        <v>0.8</v>
      </c>
      <c r="U53" s="131"/>
      <c r="V53" s="131"/>
    </row>
    <row r="54" spans="1:22" x14ac:dyDescent="0.25">
      <c r="B54" t="s">
        <v>923</v>
      </c>
      <c r="C54" s="524" t="e">
        <f>I53/J26</f>
        <v>#DIV/0!</v>
      </c>
      <c r="D54" t="s">
        <v>902</v>
      </c>
      <c r="F54" s="522"/>
      <c r="G54" s="522"/>
      <c r="N54" s="677"/>
      <c r="O54" s="131"/>
      <c r="P54" s="131" t="s">
        <v>533</v>
      </c>
      <c r="Q54" s="131"/>
      <c r="R54" s="529">
        <f>C56</f>
        <v>0.63</v>
      </c>
      <c r="S54" s="529">
        <f>F56</f>
        <v>0.65</v>
      </c>
      <c r="T54" s="529">
        <f>G56</f>
        <v>0.7</v>
      </c>
      <c r="U54" s="131"/>
      <c r="V54" s="131"/>
    </row>
    <row r="55" spans="1:22" x14ac:dyDescent="0.25">
      <c r="I55" s="421"/>
      <c r="M55" t="s">
        <v>952</v>
      </c>
    </row>
    <row r="56" spans="1:22" x14ac:dyDescent="0.25">
      <c r="A56" s="523" t="s">
        <v>924</v>
      </c>
      <c r="B56" s="523" t="s">
        <v>925</v>
      </c>
      <c r="C56" s="530">
        <f>'H-DRI literature and calcs'!AF59</f>
        <v>0.63</v>
      </c>
      <c r="D56" s="523"/>
      <c r="E56" s="523"/>
      <c r="F56" s="530">
        <f>'H-DRI literature and calcs'!AG59</f>
        <v>0.65</v>
      </c>
      <c r="G56" s="530">
        <f>'H-DRI literature and calcs'!AH59</f>
        <v>0.7</v>
      </c>
    </row>
    <row r="57" spans="1:22" x14ac:dyDescent="0.25">
      <c r="B57" s="531" t="s">
        <v>926</v>
      </c>
      <c r="C57" s="532">
        <f>1/C56</f>
        <v>1.5873015873015872</v>
      </c>
      <c r="D57" s="532"/>
      <c r="E57" s="532"/>
      <c r="F57" s="532">
        <f>1/F56</f>
        <v>1.5384615384615383</v>
      </c>
      <c r="G57" s="532">
        <f>1/G56</f>
        <v>1.4285714285714286</v>
      </c>
    </row>
    <row r="58" spans="1:22" x14ac:dyDescent="0.25">
      <c r="B58" t="s">
        <v>909</v>
      </c>
      <c r="C58" s="432">
        <f>C53</f>
        <v>0</v>
      </c>
      <c r="D58" t="s">
        <v>927</v>
      </c>
      <c r="F58" s="525">
        <f>C58*(F56/$C$34)</f>
        <v>0</v>
      </c>
      <c r="G58" s="525">
        <f>C58*(G56/$C$34)</f>
        <v>0</v>
      </c>
      <c r="I58" t="s">
        <v>928</v>
      </c>
    </row>
    <row r="59" spans="1:22" x14ac:dyDescent="0.25">
      <c r="B59" t="s">
        <v>909</v>
      </c>
      <c r="C59" s="524" t="e">
        <f>C54</f>
        <v>#DIV/0!</v>
      </c>
      <c r="D59" t="s">
        <v>929</v>
      </c>
      <c r="F59" s="525" t="e">
        <f>C59*(F58/C58)</f>
        <v>#DIV/0!</v>
      </c>
      <c r="G59" s="525" t="e">
        <f>C59*(G58/C58)</f>
        <v>#DIV/0!</v>
      </c>
      <c r="I59" t="s">
        <v>928</v>
      </c>
    </row>
    <row r="60" spans="1:22" x14ac:dyDescent="0.25">
      <c r="B60" t="s">
        <v>909</v>
      </c>
      <c r="C60" s="432">
        <f>C52</f>
        <v>0</v>
      </c>
      <c r="D60" t="s">
        <v>930</v>
      </c>
      <c r="F60" s="522"/>
      <c r="G60" s="522"/>
      <c r="I60" t="s">
        <v>928</v>
      </c>
    </row>
    <row r="62" spans="1:22" x14ac:dyDescent="0.25">
      <c r="A62" s="531" t="s">
        <v>931</v>
      </c>
      <c r="B62" s="531" t="s">
        <v>932</v>
      </c>
      <c r="C62" s="533">
        <f>C40</f>
        <v>0.9</v>
      </c>
      <c r="I62" t="s">
        <v>402</v>
      </c>
    </row>
    <row r="63" spans="1:22" x14ac:dyDescent="0.25">
      <c r="A63" s="523" t="s">
        <v>924</v>
      </c>
      <c r="B63" s="523" t="s">
        <v>933</v>
      </c>
      <c r="C63" s="523">
        <f>'H-DRI literature and calcs'!AF63</f>
        <v>1400</v>
      </c>
      <c r="D63" s="523" t="s">
        <v>793</v>
      </c>
      <c r="E63" s="523"/>
      <c r="F63" s="523">
        <f>'H-DRI literature and calcs'!AG63</f>
        <v>850</v>
      </c>
      <c r="G63" s="523">
        <f>'H-DRI literature and calcs'!AH63</f>
        <v>700</v>
      </c>
      <c r="H63" t="s">
        <v>953</v>
      </c>
    </row>
    <row r="64" spans="1:22" x14ac:dyDescent="0.25">
      <c r="A64" s="526" t="s">
        <v>934</v>
      </c>
      <c r="B64" t="s">
        <v>933</v>
      </c>
      <c r="C64" s="494">
        <f>C63*$B$4</f>
        <v>16681</v>
      </c>
      <c r="D64" t="s">
        <v>935</v>
      </c>
      <c r="F64" s="494">
        <f>F63*$B$4</f>
        <v>10127.75</v>
      </c>
      <c r="G64" s="494">
        <f>G63*$B$4</f>
        <v>8340.5</v>
      </c>
    </row>
    <row r="65" spans="1:10" x14ac:dyDescent="0.25">
      <c r="B65" s="531" t="s">
        <v>914</v>
      </c>
      <c r="C65" s="534">
        <f>C64</f>
        <v>16681</v>
      </c>
      <c r="D65" s="531" t="s">
        <v>937</v>
      </c>
      <c r="E65" s="535">
        <f>C65</f>
        <v>16681</v>
      </c>
      <c r="F65" s="534">
        <f>F64</f>
        <v>10127.75</v>
      </c>
      <c r="G65" s="534">
        <f>G64</f>
        <v>8340.5</v>
      </c>
    </row>
    <row r="67" spans="1:10" x14ac:dyDescent="0.25">
      <c r="B67" t="s">
        <v>954</v>
      </c>
      <c r="C67" s="494"/>
      <c r="E67" s="367">
        <v>7.0000000000000007E-2</v>
      </c>
      <c r="F67" s="367">
        <v>0.05</v>
      </c>
      <c r="G67" s="367">
        <v>0.05</v>
      </c>
      <c r="H67" t="s">
        <v>955</v>
      </c>
    </row>
    <row r="68" spans="1:10" x14ac:dyDescent="0.25">
      <c r="B68" s="531" t="s">
        <v>956</v>
      </c>
      <c r="C68" s="534"/>
      <c r="D68" s="531"/>
      <c r="E68" s="536">
        <f>E67*E65</f>
        <v>1167.67</v>
      </c>
      <c r="F68" s="536">
        <f>F67*F65</f>
        <v>506.38750000000005</v>
      </c>
      <c r="G68" s="536">
        <f>G67*G65</f>
        <v>417.02500000000003</v>
      </c>
    </row>
    <row r="69" spans="1:10" x14ac:dyDescent="0.25">
      <c r="B69" s="523" t="s">
        <v>933</v>
      </c>
      <c r="C69" s="523">
        <f>'H-DRI literature and calcs'!AF62</f>
        <v>500</v>
      </c>
      <c r="D69" s="523" t="s">
        <v>793</v>
      </c>
      <c r="E69" s="523"/>
      <c r="F69" s="523">
        <f>'H-DRI literature and calcs'!AG62</f>
        <v>400</v>
      </c>
      <c r="G69" s="523">
        <f>'H-DRI literature and calcs'!AH62</f>
        <v>200</v>
      </c>
      <c r="H69" s="526" t="s">
        <v>957</v>
      </c>
    </row>
    <row r="70" spans="1:10" x14ac:dyDescent="0.25">
      <c r="C70" s="422">
        <f>C69*[16]Deflators!$G$15*[16]Deflators!$H$8</f>
        <v>6159.9497526283103</v>
      </c>
      <c r="E70" s="422">
        <f>C70</f>
        <v>6159.9497526283103</v>
      </c>
      <c r="F70" s="422">
        <f>F69*[16]Deflators!$G$15*[16]Deflators!$H$8</f>
        <v>4927.9598021026477</v>
      </c>
      <c r="G70" s="422">
        <f>G69*[16]Deflators!$G$15*[16]Deflators!$H$8</f>
        <v>2463.9799010513238</v>
      </c>
    </row>
    <row r="71" spans="1:10" x14ac:dyDescent="0.25">
      <c r="A71" s="523" t="s">
        <v>924</v>
      </c>
      <c r="B71" s="523" t="s">
        <v>938</v>
      </c>
      <c r="C71" s="523">
        <f>'H-DRI literature and calcs'!AF67</f>
        <v>75000</v>
      </c>
      <c r="D71" s="523" t="s">
        <v>939</v>
      </c>
      <c r="F71" s="523">
        <f>'H-DRI literature and calcs'!AG67</f>
        <v>95000</v>
      </c>
      <c r="G71" s="523">
        <f>'H-DRI literature and calcs'!AH67</f>
        <v>125000</v>
      </c>
      <c r="H71" t="s">
        <v>958</v>
      </c>
    </row>
    <row r="72" spans="1:10" x14ac:dyDescent="0.25">
      <c r="A72" s="523"/>
      <c r="B72" s="523"/>
      <c r="C72" s="523"/>
      <c r="D72" s="523" t="s">
        <v>939</v>
      </c>
      <c r="E72">
        <f>'H-DRI literature and calcs'!AF65</f>
        <v>60000</v>
      </c>
      <c r="F72" s="523">
        <f>'H-DRI literature and calcs'!AG65</f>
        <v>90000</v>
      </c>
      <c r="G72" s="523">
        <f>'H-DRI literature and calcs'!AH65</f>
        <v>100000</v>
      </c>
      <c r="H72" t="s">
        <v>957</v>
      </c>
    </row>
    <row r="73" spans="1:10" x14ac:dyDescent="0.25">
      <c r="B73" s="531" t="s">
        <v>943</v>
      </c>
      <c r="C73" s="531">
        <f>ROUNDUP(C71/(8760*$C$62),0)</f>
        <v>10</v>
      </c>
      <c r="D73" s="531" t="s">
        <v>759</v>
      </c>
      <c r="E73" s="531"/>
      <c r="F73" s="531">
        <f>ROUNDUP(F71/(8760*$C$62),0)</f>
        <v>13</v>
      </c>
      <c r="G73" s="531">
        <f>ROUNDUP(G71/(8760*$C$62),0)</f>
        <v>16</v>
      </c>
    </row>
    <row r="75" spans="1:10" x14ac:dyDescent="0.25">
      <c r="A75" s="136" t="s">
        <v>959</v>
      </c>
    </row>
    <row r="76" spans="1:10" x14ac:dyDescent="0.25">
      <c r="C76" s="432"/>
      <c r="F76" s="521">
        <v>2030</v>
      </c>
      <c r="G76" s="521">
        <v>2050</v>
      </c>
    </row>
    <row r="77" spans="1:10" x14ac:dyDescent="0.25">
      <c r="F77" s="522"/>
      <c r="G77" s="522"/>
    </row>
    <row r="78" spans="1:10" x14ac:dyDescent="0.25">
      <c r="A78" s="523" t="s">
        <v>919</v>
      </c>
      <c r="B78" t="s">
        <v>903</v>
      </c>
      <c r="C78" s="432">
        <f>'[16]Facility technicals and LCOE'!M103*3.6*'Summary Hydrogen DRI'!B51/1000000</f>
        <v>0</v>
      </c>
      <c r="D78" t="s">
        <v>143</v>
      </c>
      <c r="F78" s="522"/>
      <c r="G78" s="522"/>
      <c r="H78" t="s">
        <v>920</v>
      </c>
      <c r="I78" t="s">
        <v>921</v>
      </c>
      <c r="J78" t="s">
        <v>928</v>
      </c>
    </row>
    <row r="79" spans="1:10" x14ac:dyDescent="0.25">
      <c r="B79" t="s">
        <v>922</v>
      </c>
      <c r="C79" s="432">
        <f>C78*'[17]Cost effectiveness'!Z72</f>
        <v>0</v>
      </c>
      <c r="D79" t="s">
        <v>143</v>
      </c>
      <c r="F79" s="522"/>
      <c r="G79" s="522"/>
      <c r="H79" s="512" t="e">
        <f>C79*1000000000/J50</f>
        <v>#DIV/0!</v>
      </c>
      <c r="I79" s="524" t="e">
        <f>H79/1000000000</f>
        <v>#DIV/0!</v>
      </c>
      <c r="J79" t="s">
        <v>928</v>
      </c>
    </row>
    <row r="80" spans="1:10" x14ac:dyDescent="0.25">
      <c r="B80" t="s">
        <v>923</v>
      </c>
      <c r="C80" s="524" t="e">
        <f>I79/J51</f>
        <v>#DIV/0!</v>
      </c>
      <c r="D80" t="s">
        <v>902</v>
      </c>
      <c r="F80" s="522"/>
      <c r="G80" s="522"/>
      <c r="J80" t="s">
        <v>928</v>
      </c>
    </row>
    <row r="81" spans="1:9" x14ac:dyDescent="0.25">
      <c r="I81" s="421"/>
    </row>
    <row r="82" spans="1:9" x14ac:dyDescent="0.25">
      <c r="A82" s="523" t="s">
        <v>924</v>
      </c>
      <c r="B82" s="523" t="s">
        <v>925</v>
      </c>
      <c r="C82" s="530">
        <f>'H-DRI literature and calcs'!AF60</f>
        <v>0.7</v>
      </c>
      <c r="D82" s="523"/>
      <c r="E82" s="523"/>
      <c r="F82" s="530">
        <f>'H-DRI literature and calcs'!AG60</f>
        <v>0.71</v>
      </c>
      <c r="G82" s="530">
        <f>'H-DRI literature and calcs'!AH60</f>
        <v>0.8</v>
      </c>
      <c r="H82" t="s">
        <v>953</v>
      </c>
    </row>
    <row r="83" spans="1:9" x14ac:dyDescent="0.25">
      <c r="B83" s="531" t="s">
        <v>926</v>
      </c>
      <c r="C83" s="532">
        <f>1/C82</f>
        <v>1.4285714285714286</v>
      </c>
      <c r="D83" s="532"/>
      <c r="E83" s="532"/>
      <c r="F83" s="532">
        <f>1/F82</f>
        <v>1.4084507042253522</v>
      </c>
      <c r="G83" s="532">
        <f>1/G82</f>
        <v>1.25</v>
      </c>
    </row>
    <row r="84" spans="1:9" x14ac:dyDescent="0.25">
      <c r="B84" t="s">
        <v>909</v>
      </c>
      <c r="C84" s="432">
        <f>C79</f>
        <v>0</v>
      </c>
      <c r="D84" t="s">
        <v>927</v>
      </c>
      <c r="F84" s="525">
        <f>C84*(F82/$C$34)</f>
        <v>0</v>
      </c>
      <c r="G84" s="525">
        <f>C84*(G82/$C$34)</f>
        <v>0</v>
      </c>
    </row>
    <row r="85" spans="1:9" x14ac:dyDescent="0.25">
      <c r="B85" t="s">
        <v>909</v>
      </c>
      <c r="C85" s="524" t="e">
        <f>C80</f>
        <v>#DIV/0!</v>
      </c>
      <c r="D85" t="s">
        <v>929</v>
      </c>
      <c r="F85" s="525" t="e">
        <f>C85*(F84/C84)</f>
        <v>#DIV/0!</v>
      </c>
      <c r="G85" s="525" t="e">
        <f>C85*(G84/C84)</f>
        <v>#DIV/0!</v>
      </c>
    </row>
    <row r="86" spans="1:9" x14ac:dyDescent="0.25">
      <c r="B86" t="s">
        <v>909</v>
      </c>
      <c r="C86" s="432">
        <f>C78</f>
        <v>0</v>
      </c>
      <c r="D86" t="s">
        <v>930</v>
      </c>
      <c r="F86" s="522"/>
      <c r="G86" s="522"/>
    </row>
    <row r="88" spans="1:9" x14ac:dyDescent="0.25">
      <c r="A88" t="s">
        <v>931</v>
      </c>
      <c r="B88" t="s">
        <v>932</v>
      </c>
      <c r="C88" s="367"/>
    </row>
    <row r="89" spans="1:9" x14ac:dyDescent="0.25">
      <c r="A89" s="523" t="s">
        <v>924</v>
      </c>
      <c r="B89" s="523" t="s">
        <v>933</v>
      </c>
      <c r="C89" s="523">
        <f>'H-DRI literature and calcs'!AF62</f>
        <v>500</v>
      </c>
      <c r="D89" s="523" t="s">
        <v>793</v>
      </c>
      <c r="E89" s="523"/>
      <c r="F89" s="523">
        <f>'H-DRI literature and calcs'!AG62</f>
        <v>400</v>
      </c>
      <c r="G89" s="523">
        <f>'H-DRI literature and calcs'!AH62</f>
        <v>200</v>
      </c>
    </row>
    <row r="90" spans="1:9" x14ac:dyDescent="0.25">
      <c r="A90" s="526" t="s">
        <v>934</v>
      </c>
      <c r="B90" t="s">
        <v>933</v>
      </c>
      <c r="C90" s="494">
        <f>C89*$B$4</f>
        <v>5957.5</v>
      </c>
      <c r="D90" t="s">
        <v>935</v>
      </c>
      <c r="F90" s="494">
        <f>F89*$B$4</f>
        <v>4766</v>
      </c>
      <c r="G90" s="494">
        <f>G89*$B$4</f>
        <v>2383</v>
      </c>
      <c r="H90" t="s">
        <v>960</v>
      </c>
    </row>
    <row r="91" spans="1:9" x14ac:dyDescent="0.25">
      <c r="B91" s="531" t="s">
        <v>914</v>
      </c>
      <c r="C91" s="534">
        <f>C90</f>
        <v>5957.5</v>
      </c>
      <c r="D91" s="531" t="s">
        <v>937</v>
      </c>
      <c r="E91" s="535">
        <f>C91</f>
        <v>5957.5</v>
      </c>
      <c r="F91" s="534">
        <f>F90</f>
        <v>4766</v>
      </c>
      <c r="G91" s="534">
        <f>G90</f>
        <v>2383</v>
      </c>
    </row>
    <row r="92" spans="1:9" x14ac:dyDescent="0.25">
      <c r="C92" s="494"/>
      <c r="F92" s="494"/>
      <c r="G92" s="494"/>
    </row>
    <row r="93" spans="1:9" x14ac:dyDescent="0.25">
      <c r="B93" t="s">
        <v>954</v>
      </c>
      <c r="C93" s="494"/>
      <c r="E93" s="367">
        <v>7.0000000000000007E-2</v>
      </c>
      <c r="F93" s="367">
        <v>0.05</v>
      </c>
      <c r="G93" s="367">
        <v>0.05</v>
      </c>
      <c r="H93" t="s">
        <v>955</v>
      </c>
    </row>
    <row r="94" spans="1:9" x14ac:dyDescent="0.25">
      <c r="B94" s="531" t="s">
        <v>956</v>
      </c>
      <c r="C94" s="534"/>
      <c r="D94" s="531"/>
      <c r="E94" s="536">
        <f>E93*E91</f>
        <v>417.02500000000003</v>
      </c>
      <c r="F94" s="536">
        <f>F93*F91</f>
        <v>238.3</v>
      </c>
      <c r="G94" s="536">
        <f>G93*G91</f>
        <v>119.15</v>
      </c>
    </row>
    <row r="95" spans="1:9" x14ac:dyDescent="0.25">
      <c r="C95" s="355"/>
      <c r="F95" s="355"/>
      <c r="G95" s="355"/>
    </row>
    <row r="96" spans="1:9" x14ac:dyDescent="0.25">
      <c r="C96" s="422"/>
      <c r="F96" s="494"/>
      <c r="G96" s="494"/>
    </row>
    <row r="97" spans="1:25" x14ac:dyDescent="0.25">
      <c r="A97" s="523" t="s">
        <v>924</v>
      </c>
      <c r="B97" s="523" t="s">
        <v>938</v>
      </c>
      <c r="C97" s="523">
        <f>C71</f>
        <v>75000</v>
      </c>
      <c r="D97" s="523" t="s">
        <v>939</v>
      </c>
      <c r="F97" s="523">
        <f>F71</f>
        <v>95000</v>
      </c>
      <c r="G97" s="523">
        <f>G71</f>
        <v>125000</v>
      </c>
      <c r="H97" t="s">
        <v>961</v>
      </c>
    </row>
    <row r="98" spans="1:25" x14ac:dyDescent="0.25">
      <c r="E98">
        <f>'H-DRI literature and calcs'!AF66</f>
        <v>90000</v>
      </c>
      <c r="F98">
        <f>'H-DRI literature and calcs'!AG66</f>
        <v>100000</v>
      </c>
      <c r="G98">
        <f>'H-DRI literature and calcs'!AH66</f>
        <v>150000</v>
      </c>
      <c r="H98" t="s">
        <v>794</v>
      </c>
    </row>
    <row r="99" spans="1:25" x14ac:dyDescent="0.25">
      <c r="B99" s="531" t="s">
        <v>943</v>
      </c>
      <c r="C99" s="531">
        <f>ROUNDUP(C97/(8760*$C$62),0)</f>
        <v>10</v>
      </c>
      <c r="D99" s="531" t="s">
        <v>759</v>
      </c>
      <c r="E99" s="531">
        <f>C99</f>
        <v>10</v>
      </c>
      <c r="F99" s="531">
        <f>ROUNDUP(F97/(8760*$C$62),0)</f>
        <v>13</v>
      </c>
      <c r="G99" s="531">
        <f>ROUNDUP(G97/(8760*$C$62),0)</f>
        <v>16</v>
      </c>
    </row>
    <row r="102" spans="1:25" x14ac:dyDescent="0.25">
      <c r="O102" t="s">
        <v>962</v>
      </c>
      <c r="U102" t="s">
        <v>963</v>
      </c>
    </row>
    <row r="103" spans="1:25" x14ac:dyDescent="0.25">
      <c r="A103" s="11" t="s">
        <v>964</v>
      </c>
      <c r="B103" s="8"/>
      <c r="C103" s="8"/>
      <c r="D103" s="8"/>
      <c r="E103" s="8"/>
      <c r="F103" s="8"/>
      <c r="G103" s="8"/>
      <c r="H103" s="8"/>
      <c r="I103" s="8"/>
      <c r="O103">
        <f>C109</f>
        <v>1.504</v>
      </c>
      <c r="P103" t="s">
        <v>965</v>
      </c>
      <c r="U103" s="537">
        <f>C32*1000000</f>
        <v>408000</v>
      </c>
      <c r="V103" t="s">
        <v>966</v>
      </c>
    </row>
    <row r="104" spans="1:25" x14ac:dyDescent="0.25">
      <c r="F104" s="522"/>
      <c r="G104" s="522"/>
      <c r="O104">
        <f>'H-DRI literature and calcs'!D129</f>
        <v>0.74400000000000022</v>
      </c>
      <c r="P104" t="s">
        <v>967</v>
      </c>
      <c r="U104" s="355">
        <f>[16]Prices!M70*1000/Y104</f>
        <v>2266.6666666666665</v>
      </c>
      <c r="V104" t="s">
        <v>968</v>
      </c>
      <c r="Y104">
        <v>15</v>
      </c>
    </row>
    <row r="105" spans="1:25" x14ac:dyDescent="0.25">
      <c r="A105" s="516" t="s">
        <v>969</v>
      </c>
      <c r="B105" t="s">
        <v>970</v>
      </c>
      <c r="C105" s="349">
        <f>'[16]Facility technicals and LCOE'!N18*B3*J2/1000000000</f>
        <v>6.12</v>
      </c>
      <c r="D105" t="s">
        <v>143</v>
      </c>
      <c r="F105" s="522"/>
      <c r="G105" s="522"/>
    </row>
    <row r="106" spans="1:25" x14ac:dyDescent="0.25">
      <c r="B106" t="s">
        <v>971</v>
      </c>
      <c r="C106">
        <f>'[16]Facility technicals and LCOE'!M18/1000000</f>
        <v>1.504</v>
      </c>
      <c r="D106" t="s">
        <v>972</v>
      </c>
      <c r="F106" s="522"/>
      <c r="G106" s="522"/>
      <c r="U106" s="494">
        <f>U103*U104</f>
        <v>924799999.99999988</v>
      </c>
      <c r="V106" t="s">
        <v>973</v>
      </c>
    </row>
    <row r="107" spans="1:25" x14ac:dyDescent="0.25">
      <c r="B107" t="s">
        <v>974</v>
      </c>
      <c r="C107" s="348">
        <f>'[16]Facility technicals and LCOE'!M23*B3/1000000</f>
        <v>1</v>
      </c>
      <c r="D107" t="s">
        <v>902</v>
      </c>
      <c r="F107" s="522"/>
      <c r="G107" s="522"/>
      <c r="U107" s="349">
        <f>U106/1000000</f>
        <v>924.79999999999984</v>
      </c>
      <c r="V107" t="s">
        <v>975</v>
      </c>
    </row>
    <row r="108" spans="1:25" x14ac:dyDescent="0.25">
      <c r="B108" s="526" t="s">
        <v>909</v>
      </c>
      <c r="E108" s="526" t="s">
        <v>977</v>
      </c>
      <c r="F108" s="538"/>
      <c r="G108" s="538"/>
      <c r="H108" s="526" t="s">
        <v>978</v>
      </c>
    </row>
    <row r="109" spans="1:25" x14ac:dyDescent="0.25">
      <c r="B109" t="s">
        <v>909</v>
      </c>
      <c r="C109">
        <f>C106</f>
        <v>1.504</v>
      </c>
      <c r="D109" t="s">
        <v>38</v>
      </c>
      <c r="F109" s="522"/>
      <c r="G109" s="522"/>
    </row>
    <row r="110" spans="1:25" x14ac:dyDescent="0.25">
      <c r="B110" t="s">
        <v>909</v>
      </c>
      <c r="C110" s="349">
        <f>C105</f>
        <v>6.12</v>
      </c>
      <c r="D110" t="s">
        <v>927</v>
      </c>
    </row>
    <row r="111" spans="1:25" x14ac:dyDescent="0.25">
      <c r="B111" t="s">
        <v>909</v>
      </c>
      <c r="C111" s="348">
        <f>C107</f>
        <v>1</v>
      </c>
      <c r="D111" t="s">
        <v>839</v>
      </c>
    </row>
    <row r="113" spans="1:17" x14ac:dyDescent="0.25">
      <c r="A113" t="s">
        <v>931</v>
      </c>
      <c r="B113" t="s">
        <v>979</v>
      </c>
      <c r="C113" s="367">
        <v>0.9</v>
      </c>
      <c r="D113" t="s">
        <v>980</v>
      </c>
    </row>
    <row r="115" spans="1:17" x14ac:dyDescent="0.25">
      <c r="A115" s="516" t="s">
        <v>911</v>
      </c>
      <c r="B115" s="516" t="s">
        <v>912</v>
      </c>
      <c r="C115" s="516">
        <f>'H-DRI literature and calcs'!AK131</f>
        <v>230</v>
      </c>
      <c r="D115" s="516" t="s">
        <v>863</v>
      </c>
      <c r="N115" s="131"/>
      <c r="O115" s="131"/>
      <c r="P115" s="131">
        <v>2020</v>
      </c>
      <c r="Q115" s="131" t="s">
        <v>427</v>
      </c>
    </row>
    <row r="116" spans="1:17" x14ac:dyDescent="0.25">
      <c r="C116">
        <f>C115*[16]Deflators!D25</f>
        <v>264.5</v>
      </c>
      <c r="D116" t="s">
        <v>664</v>
      </c>
      <c r="N116" s="131" t="s">
        <v>912</v>
      </c>
      <c r="O116" s="131" t="s">
        <v>946</v>
      </c>
      <c r="P116" s="539">
        <f>C118</f>
        <v>3151.5174999999999</v>
      </c>
      <c r="Q116" s="131"/>
    </row>
    <row r="117" spans="1:17" x14ac:dyDescent="0.25">
      <c r="C117" s="488">
        <f>C116*$B$4</f>
        <v>3151.5174999999999</v>
      </c>
      <c r="D117" t="s">
        <v>981</v>
      </c>
      <c r="N117" s="131" t="s">
        <v>945</v>
      </c>
      <c r="O117" s="131"/>
      <c r="P117" s="527">
        <f>C122</f>
        <v>618.86236976156738</v>
      </c>
      <c r="Q117" s="131"/>
    </row>
    <row r="118" spans="1:17" x14ac:dyDescent="0.25">
      <c r="B118" t="s">
        <v>914</v>
      </c>
      <c r="C118" s="432">
        <f>C117</f>
        <v>3151.5174999999999</v>
      </c>
      <c r="D118" t="s">
        <v>915</v>
      </c>
      <c r="N118" s="150" t="s">
        <v>836</v>
      </c>
      <c r="O118" s="131"/>
      <c r="P118" s="131"/>
      <c r="Q118" s="131"/>
    </row>
    <row r="119" spans="1:17" x14ac:dyDescent="0.25">
      <c r="C119" s="432"/>
      <c r="N119" s="131" t="s">
        <v>247</v>
      </c>
      <c r="O119" s="131" t="s">
        <v>982</v>
      </c>
      <c r="P119" s="131">
        <f>C109</f>
        <v>1.504</v>
      </c>
      <c r="Q119" s="131"/>
    </row>
    <row r="120" spans="1:17" x14ac:dyDescent="0.25">
      <c r="B120" t="s">
        <v>983</v>
      </c>
      <c r="C120" s="432"/>
      <c r="N120" s="131" t="s">
        <v>841</v>
      </c>
      <c r="O120" s="131" t="s">
        <v>543</v>
      </c>
      <c r="P120" s="540">
        <f>C105</f>
        <v>6.12</v>
      </c>
      <c r="Q120" s="131"/>
    </row>
    <row r="121" spans="1:17" x14ac:dyDescent="0.25">
      <c r="A121" t="s">
        <v>223</v>
      </c>
      <c r="B121" t="s">
        <v>703</v>
      </c>
      <c r="C121" s="494">
        <f>'[16]AMSA 2018 IA report'!D12*[16]Prices!C52</f>
        <v>725.14525500322793</v>
      </c>
      <c r="D121" t="s">
        <v>916</v>
      </c>
      <c r="N121" s="131" t="s">
        <v>14</v>
      </c>
      <c r="O121" s="131"/>
      <c r="P121" s="131"/>
      <c r="Q121" s="131"/>
    </row>
    <row r="122" spans="1:17" x14ac:dyDescent="0.25">
      <c r="B122" t="s">
        <v>917</v>
      </c>
      <c r="C122" s="494">
        <f>C121*[16]Deflators!H8</f>
        <v>618.86236976156738</v>
      </c>
      <c r="D122" t="s">
        <v>918</v>
      </c>
      <c r="N122" s="131" t="s">
        <v>745</v>
      </c>
      <c r="O122" s="131" t="s">
        <v>747</v>
      </c>
      <c r="P122" s="131">
        <v>20</v>
      </c>
      <c r="Q122" s="131" t="s">
        <v>984</v>
      </c>
    </row>
    <row r="123" spans="1:17" x14ac:dyDescent="0.25">
      <c r="N123" s="131" t="s">
        <v>932</v>
      </c>
      <c r="O123" s="131"/>
      <c r="P123" s="529">
        <v>0.9</v>
      </c>
      <c r="Q123" s="131" t="s">
        <v>985</v>
      </c>
    </row>
    <row r="125" spans="1:17" x14ac:dyDescent="0.25">
      <c r="C125" s="349"/>
    </row>
    <row r="127" spans="1:17" x14ac:dyDescent="0.25">
      <c r="A127" t="s">
        <v>986</v>
      </c>
    </row>
    <row r="129" spans="1:10" x14ac:dyDescent="0.25">
      <c r="A129" t="s">
        <v>987</v>
      </c>
      <c r="C129" s="488">
        <f>[16]Prices!C16</f>
        <v>318.83499999999998</v>
      </c>
      <c r="D129" t="s">
        <v>988</v>
      </c>
    </row>
    <row r="130" spans="1:10" x14ac:dyDescent="0.25">
      <c r="C130">
        <f>C129*[16]Deflators!C15</f>
        <v>4162.2431015000002</v>
      </c>
      <c r="D130" t="s">
        <v>981</v>
      </c>
    </row>
    <row r="136" spans="1:10" x14ac:dyDescent="0.25">
      <c r="A136" s="11" t="s">
        <v>797</v>
      </c>
      <c r="B136" s="8"/>
      <c r="C136" s="8"/>
      <c r="D136" s="8"/>
      <c r="E136" s="8"/>
      <c r="F136" s="8"/>
      <c r="G136" s="8"/>
      <c r="H136" s="8"/>
      <c r="I136" s="8"/>
    </row>
    <row r="137" spans="1:10" x14ac:dyDescent="0.25">
      <c r="D137" s="131"/>
      <c r="E137" s="131">
        <v>2020</v>
      </c>
      <c r="F137" s="131">
        <v>2030</v>
      </c>
      <c r="G137" s="131">
        <v>2050</v>
      </c>
      <c r="I137" s="367">
        <v>0.1</v>
      </c>
    </row>
    <row r="138" spans="1:10" x14ac:dyDescent="0.25">
      <c r="D138" s="541" t="s">
        <v>989</v>
      </c>
      <c r="E138" s="542">
        <f>'H-DRI literature and calcs'!AA109</f>
        <v>50654</v>
      </c>
      <c r="F138" s="542">
        <f>'H-DRI literature and calcs'!AB109</f>
        <v>33938.179999999993</v>
      </c>
      <c r="G138" s="543">
        <f>F138*(1-I137)</f>
        <v>30544.361999999994</v>
      </c>
      <c r="H138" s="544" t="s">
        <v>990</v>
      </c>
      <c r="I138" s="545" t="e" cm="1">
        <f t="array" aca="1" ref="I138" ca="1">MID(CELL("filename",#REF!),FIND("]",CELL("filename",#REF!))+1,256)</f>
        <v>#REF!</v>
      </c>
      <c r="J138" s="526" t="s">
        <v>991</v>
      </c>
    </row>
    <row r="139" spans="1:10" x14ac:dyDescent="0.25">
      <c r="D139" s="546" t="s">
        <v>791</v>
      </c>
      <c r="E139" s="546"/>
      <c r="F139" s="547">
        <v>0.99</v>
      </c>
      <c r="G139" s="546"/>
      <c r="I139" t="s">
        <v>992</v>
      </c>
    </row>
    <row r="140" spans="1:10" x14ac:dyDescent="0.25">
      <c r="B140" t="s">
        <v>993</v>
      </c>
      <c r="D140" s="546" t="s">
        <v>745</v>
      </c>
      <c r="E140" s="546"/>
      <c r="F140" s="546">
        <v>20</v>
      </c>
      <c r="G140" s="546"/>
      <c r="H140" t="s">
        <v>759</v>
      </c>
      <c r="I140" t="s">
        <v>931</v>
      </c>
      <c r="J140" s="367"/>
    </row>
    <row r="141" spans="1:10" x14ac:dyDescent="0.25">
      <c r="B141">
        <v>1</v>
      </c>
      <c r="C141" t="s">
        <v>994</v>
      </c>
      <c r="D141" s="546"/>
      <c r="E141" s="546"/>
      <c r="F141" s="548">
        <f>B141*3.6/J2</f>
        <v>3.0000000000000002E-2</v>
      </c>
      <c r="G141" s="546"/>
      <c r="H141" t="s">
        <v>995</v>
      </c>
    </row>
    <row r="142" spans="1:10" x14ac:dyDescent="0.25">
      <c r="C142" t="s">
        <v>996</v>
      </c>
      <c r="D142" s="131"/>
      <c r="E142" s="131"/>
      <c r="F142" s="131"/>
      <c r="G142" s="131"/>
    </row>
    <row r="143" spans="1:10" x14ac:dyDescent="0.25">
      <c r="D143" s="131"/>
      <c r="E143" s="529">
        <v>0.01</v>
      </c>
      <c r="F143" s="529">
        <v>0.01</v>
      </c>
      <c r="G143" s="529">
        <v>0.01</v>
      </c>
      <c r="H143" t="s">
        <v>402</v>
      </c>
      <c r="I143" t="s">
        <v>997</v>
      </c>
      <c r="J143" s="497"/>
    </row>
    <row r="144" spans="1:10" x14ac:dyDescent="0.25">
      <c r="D144" s="546" t="s">
        <v>956</v>
      </c>
      <c r="E144" s="549">
        <f>E143*E138</f>
        <v>506.54</v>
      </c>
      <c r="F144" s="549">
        <f>F143*F138</f>
        <v>339.38179999999994</v>
      </c>
      <c r="G144" s="549">
        <f>G143*G138</f>
        <v>305.44361999999995</v>
      </c>
    </row>
    <row r="149" spans="10:10" x14ac:dyDescent="0.25">
      <c r="J149" s="494"/>
    </row>
    <row r="150" spans="10:10" x14ac:dyDescent="0.25">
      <c r="J150" s="494"/>
    </row>
    <row r="151" spans="10:10" x14ac:dyDescent="0.25">
      <c r="J151" s="494"/>
    </row>
  </sheetData>
  <mergeCells count="2">
    <mergeCell ref="U15:V15"/>
    <mergeCell ref="N46:N54"/>
  </mergeCells>
  <hyperlinks>
    <hyperlink ref="C5" r:id="rId1" xr:uid="{00765217-01C8-4094-87D5-4ACC5B75A0E7}"/>
  </hyperlinks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6B80F-5A69-4769-9D08-0F5BA2279C86}">
  <sheetPr>
    <tabColor theme="3" tint="0.39997558519241921"/>
  </sheetPr>
  <dimension ref="A1:F20"/>
  <sheetViews>
    <sheetView workbookViewId="0">
      <selection activeCell="D29" sqref="D29"/>
    </sheetView>
  </sheetViews>
  <sheetFormatPr defaultRowHeight="12.75" x14ac:dyDescent="0.2"/>
  <cols>
    <col min="1" max="2" width="9.140625" style="555"/>
    <col min="3" max="3" width="18.42578125" style="555" customWidth="1"/>
    <col min="4" max="4" width="77" style="555" customWidth="1"/>
    <col min="5" max="16384" width="9.140625" style="555"/>
  </cols>
  <sheetData>
    <row r="1" spans="1:6" ht="15" x14ac:dyDescent="0.25">
      <c r="A1" s="574" t="s">
        <v>1514</v>
      </c>
      <c r="B1" s="574" t="s">
        <v>1084</v>
      </c>
      <c r="C1" s="574"/>
      <c r="D1" s="574"/>
      <c r="E1" s="574"/>
      <c r="F1" s="574"/>
    </row>
    <row r="2" spans="1:6" ht="15" x14ac:dyDescent="0.25">
      <c r="A2" s="574"/>
      <c r="B2" s="574" t="s">
        <v>1073</v>
      </c>
      <c r="C2" s="574" t="s">
        <v>1083</v>
      </c>
      <c r="D2" s="574" t="s">
        <v>1082</v>
      </c>
      <c r="E2" s="574" t="s">
        <v>143</v>
      </c>
      <c r="F2" s="574" t="s">
        <v>1077</v>
      </c>
    </row>
    <row r="3" spans="1:6" ht="15" x14ac:dyDescent="0.25">
      <c r="A3" s="574"/>
      <c r="B3" s="574" t="s">
        <v>1073</v>
      </c>
      <c r="C3" s="574" t="s">
        <v>1081</v>
      </c>
      <c r="D3" s="574" t="s">
        <v>1080</v>
      </c>
      <c r="E3" s="574" t="s">
        <v>143</v>
      </c>
      <c r="F3" s="574" t="s">
        <v>1070</v>
      </c>
    </row>
    <row r="4" spans="1:6" ht="15" x14ac:dyDescent="0.25">
      <c r="A4" s="574"/>
      <c r="B4" s="574" t="s">
        <v>1073</v>
      </c>
      <c r="C4" s="574" t="s">
        <v>1079</v>
      </c>
      <c r="D4" s="574" t="s">
        <v>1078</v>
      </c>
      <c r="E4" s="574" t="s">
        <v>143</v>
      </c>
      <c r="F4" s="574" t="s">
        <v>1077</v>
      </c>
    </row>
    <row r="5" spans="1:6" ht="15" x14ac:dyDescent="0.25">
      <c r="A5" s="574"/>
      <c r="B5" s="574" t="s">
        <v>1073</v>
      </c>
      <c r="C5" s="574" t="s">
        <v>1076</v>
      </c>
      <c r="D5" s="574" t="s">
        <v>1075</v>
      </c>
      <c r="E5" s="574" t="s">
        <v>143</v>
      </c>
      <c r="F5" s="574" t="s">
        <v>1074</v>
      </c>
    </row>
    <row r="6" spans="1:6" ht="15" x14ac:dyDescent="0.25">
      <c r="A6" s="574"/>
      <c r="B6" s="574" t="s">
        <v>1073</v>
      </c>
      <c r="C6" s="574" t="s">
        <v>1072</v>
      </c>
      <c r="D6" s="574" t="s">
        <v>1071</v>
      </c>
      <c r="E6" s="574" t="s">
        <v>143</v>
      </c>
      <c r="F6" s="574" t="s">
        <v>1070</v>
      </c>
    </row>
    <row r="7" spans="1:6" ht="15" x14ac:dyDescent="0.25">
      <c r="A7" s="574"/>
      <c r="B7" s="574" t="s">
        <v>1044</v>
      </c>
      <c r="C7" s="574" t="s">
        <v>1069</v>
      </c>
      <c r="D7" s="574" t="s">
        <v>1068</v>
      </c>
      <c r="E7" s="574" t="s">
        <v>1041</v>
      </c>
      <c r="F7" s="574" t="s">
        <v>1045</v>
      </c>
    </row>
    <row r="8" spans="1:6" ht="15" x14ac:dyDescent="0.25">
      <c r="A8" s="574"/>
      <c r="B8" s="574" t="s">
        <v>1044</v>
      </c>
      <c r="C8" s="574" t="s">
        <v>1067</v>
      </c>
      <c r="D8" s="574" t="s">
        <v>1066</v>
      </c>
      <c r="E8" s="574" t="s">
        <v>1049</v>
      </c>
      <c r="F8" s="574" t="s">
        <v>1040</v>
      </c>
    </row>
    <row r="9" spans="1:6" ht="15" x14ac:dyDescent="0.25">
      <c r="A9" s="574"/>
      <c r="B9" s="574" t="s">
        <v>1044</v>
      </c>
      <c r="C9" s="574" t="s">
        <v>1065</v>
      </c>
      <c r="D9" s="574" t="s">
        <v>1064</v>
      </c>
      <c r="E9" s="574" t="s">
        <v>1049</v>
      </c>
      <c r="F9" s="574" t="s">
        <v>1053</v>
      </c>
    </row>
    <row r="10" spans="1:6" ht="15" x14ac:dyDescent="0.25">
      <c r="A10" s="574"/>
      <c r="B10" s="574" t="s">
        <v>1044</v>
      </c>
      <c r="C10" s="574" t="s">
        <v>1063</v>
      </c>
      <c r="D10" s="574" t="s">
        <v>1062</v>
      </c>
      <c r="E10" s="574" t="s">
        <v>1056</v>
      </c>
      <c r="F10" s="574" t="s">
        <v>1040</v>
      </c>
    </row>
    <row r="11" spans="1:6" ht="15" x14ac:dyDescent="0.25">
      <c r="A11" s="574"/>
      <c r="B11" s="574" t="s">
        <v>1044</v>
      </c>
      <c r="C11" s="574" t="s">
        <v>1061</v>
      </c>
      <c r="D11" s="574" t="s">
        <v>1060</v>
      </c>
      <c r="E11" s="574" t="s">
        <v>1059</v>
      </c>
      <c r="F11" s="574" t="s">
        <v>1053</v>
      </c>
    </row>
    <row r="12" spans="1:6" ht="15" x14ac:dyDescent="0.25">
      <c r="A12" s="574"/>
      <c r="B12" s="574" t="s">
        <v>1044</v>
      </c>
      <c r="C12" s="574" t="s">
        <v>1058</v>
      </c>
      <c r="D12" s="574" t="s">
        <v>1057</v>
      </c>
      <c r="E12" s="574" t="s">
        <v>1056</v>
      </c>
      <c r="F12" s="574" t="s">
        <v>1040</v>
      </c>
    </row>
    <row r="13" spans="1:6" ht="15" x14ac:dyDescent="0.25">
      <c r="A13" s="574"/>
      <c r="B13" s="574" t="s">
        <v>1044</v>
      </c>
      <c r="C13" s="574" t="s">
        <v>1055</v>
      </c>
      <c r="D13" s="574" t="s">
        <v>1054</v>
      </c>
      <c r="E13" s="574" t="s">
        <v>1041</v>
      </c>
      <c r="F13" s="574" t="s">
        <v>1053</v>
      </c>
    </row>
    <row r="14" spans="1:6" ht="15" x14ac:dyDescent="0.25">
      <c r="A14" s="574" t="s">
        <v>1052</v>
      </c>
      <c r="B14" s="574" t="s">
        <v>1044</v>
      </c>
      <c r="C14" s="574" t="s">
        <v>1051</v>
      </c>
      <c r="D14" s="574" t="s">
        <v>1050</v>
      </c>
      <c r="E14" s="574" t="s">
        <v>1049</v>
      </c>
      <c r="F14" s="574" t="s">
        <v>1048</v>
      </c>
    </row>
    <row r="15" spans="1:6" ht="15" x14ac:dyDescent="0.25">
      <c r="A15" s="574"/>
      <c r="B15" s="574" t="s">
        <v>1044</v>
      </c>
      <c r="C15" s="574" t="s">
        <v>1047</v>
      </c>
      <c r="D15" s="574" t="s">
        <v>1046</v>
      </c>
      <c r="E15" s="574" t="s">
        <v>1041</v>
      </c>
      <c r="F15" s="574" t="s">
        <v>1045</v>
      </c>
    </row>
    <row r="16" spans="1:6" ht="15" x14ac:dyDescent="0.25">
      <c r="A16" s="574"/>
      <c r="B16" s="574" t="s">
        <v>1044</v>
      </c>
      <c r="C16" s="574" t="s">
        <v>1043</v>
      </c>
      <c r="D16" s="574" t="s">
        <v>1042</v>
      </c>
      <c r="E16" s="574" t="s">
        <v>1041</v>
      </c>
      <c r="F16" s="574" t="s">
        <v>1040</v>
      </c>
    </row>
    <row r="17" spans="2:6" ht="15" x14ac:dyDescent="0.25">
      <c r="B17" s="573" t="s">
        <v>1037</v>
      </c>
      <c r="C17" s="573" t="s">
        <v>1039</v>
      </c>
      <c r="D17" s="573" t="s">
        <v>1038</v>
      </c>
      <c r="E17" s="573"/>
      <c r="F17" s="573" t="s">
        <v>1034</v>
      </c>
    </row>
    <row r="18" spans="2:6" ht="15" x14ac:dyDescent="0.25">
      <c r="B18" s="573" t="s">
        <v>1037</v>
      </c>
      <c r="C18" s="573" t="s">
        <v>1036</v>
      </c>
      <c r="D18" s="573" t="s">
        <v>1035</v>
      </c>
      <c r="E18" s="573"/>
      <c r="F18" s="573" t="s">
        <v>1034</v>
      </c>
    </row>
    <row r="19" spans="2:6" ht="15" x14ac:dyDescent="0.25">
      <c r="B19" t="s">
        <v>1073</v>
      </c>
      <c r="C19" t="s">
        <v>1547</v>
      </c>
      <c r="D19" t="s">
        <v>1548</v>
      </c>
      <c r="E19" t="s">
        <v>143</v>
      </c>
      <c r="F19" t="s">
        <v>1077</v>
      </c>
    </row>
    <row r="20" spans="2:6" ht="15" x14ac:dyDescent="0.25">
      <c r="B20" t="s">
        <v>1044</v>
      </c>
      <c r="C20" t="s">
        <v>1546</v>
      </c>
      <c r="D20" t="s">
        <v>1549</v>
      </c>
      <c r="E20" t="s">
        <v>1041</v>
      </c>
      <c r="F20" t="s">
        <v>1045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15DCA-5164-485E-867F-133FCAC351A6}">
  <sheetPr>
    <tabColor theme="3" tint="0.39997558519241921"/>
  </sheetPr>
  <dimension ref="A1:AP62"/>
  <sheetViews>
    <sheetView topLeftCell="A46" workbookViewId="0">
      <selection activeCell="M69" sqref="M69:N69"/>
    </sheetView>
  </sheetViews>
  <sheetFormatPr defaultRowHeight="12.75" x14ac:dyDescent="0.2"/>
  <cols>
    <col min="1" max="1" width="9.140625" style="555"/>
    <col min="2" max="2" width="16.140625" style="555" customWidth="1"/>
    <col min="3" max="3" width="20.42578125" style="555" customWidth="1"/>
    <col min="4" max="16384" width="9.140625" style="555"/>
  </cols>
  <sheetData>
    <row r="1" spans="1:42" ht="15" x14ac:dyDescent="0.25">
      <c r="A1" s="574" t="s">
        <v>1515</v>
      </c>
      <c r="B1" s="574" t="s">
        <v>1084</v>
      </c>
      <c r="C1" s="574"/>
      <c r="D1" s="574"/>
      <c r="E1" s="574"/>
      <c r="F1" s="574"/>
      <c r="G1" s="574"/>
      <c r="H1" s="574"/>
      <c r="I1" s="574"/>
      <c r="J1" s="574"/>
      <c r="K1" s="574"/>
      <c r="L1" s="574"/>
      <c r="M1" s="574"/>
      <c r="N1" s="574"/>
      <c r="O1" s="574"/>
      <c r="P1" s="574"/>
      <c r="Q1" s="574"/>
      <c r="R1" s="574"/>
      <c r="S1" s="574"/>
      <c r="T1" s="574"/>
      <c r="U1" s="574"/>
      <c r="V1" s="574"/>
      <c r="W1" s="574"/>
      <c r="X1" s="574"/>
      <c r="Y1" s="574"/>
      <c r="Z1" s="574"/>
      <c r="AA1" s="574"/>
      <c r="AB1" s="574"/>
      <c r="AC1" s="574"/>
      <c r="AD1" s="574"/>
      <c r="AE1" s="574"/>
      <c r="AF1" s="574"/>
      <c r="AG1" s="574"/>
      <c r="AH1" s="574"/>
      <c r="AI1" s="574"/>
      <c r="AJ1" s="574"/>
      <c r="AK1" s="574"/>
      <c r="AL1" s="574"/>
      <c r="AM1" s="574"/>
      <c r="AN1" s="574"/>
      <c r="AO1" s="574"/>
      <c r="AP1" s="574"/>
    </row>
    <row r="2" spans="1:42" ht="15" x14ac:dyDescent="0.25">
      <c r="A2" s="574"/>
      <c r="B2" s="574" t="s">
        <v>917</v>
      </c>
      <c r="C2" s="574" t="s">
        <v>1063</v>
      </c>
      <c r="D2" s="574" t="s">
        <v>707</v>
      </c>
      <c r="E2" s="574" t="s">
        <v>707</v>
      </c>
      <c r="F2" s="574" t="s">
        <v>707</v>
      </c>
      <c r="G2" s="574" t="s">
        <v>707</v>
      </c>
      <c r="H2" s="574" t="s">
        <v>707</v>
      </c>
      <c r="I2" s="574">
        <v>0</v>
      </c>
      <c r="J2" s="574">
        <v>619</v>
      </c>
      <c r="K2" s="574"/>
      <c r="L2" s="574"/>
      <c r="M2" s="574"/>
      <c r="N2" s="574"/>
      <c r="O2" s="574"/>
      <c r="P2" s="574"/>
      <c r="Q2" s="574"/>
      <c r="R2" s="574"/>
      <c r="S2" s="574"/>
      <c r="T2" s="574"/>
      <c r="U2" s="574"/>
      <c r="V2" s="574"/>
      <c r="W2" s="574"/>
      <c r="X2" s="574"/>
      <c r="Y2" s="574"/>
      <c r="Z2" s="574"/>
      <c r="AA2" s="574"/>
      <c r="AB2" s="574"/>
      <c r="AC2" s="574"/>
      <c r="AD2" s="574"/>
      <c r="AE2" s="574"/>
      <c r="AF2" s="574"/>
      <c r="AG2" s="574"/>
      <c r="AH2" s="574"/>
      <c r="AI2" s="574"/>
      <c r="AJ2" s="574"/>
      <c r="AK2" s="574"/>
      <c r="AL2" s="574"/>
      <c r="AM2" s="574"/>
      <c r="AN2" s="574"/>
      <c r="AO2" s="574"/>
      <c r="AP2" s="574"/>
    </row>
    <row r="3" spans="1:42" ht="15" x14ac:dyDescent="0.25">
      <c r="A3" s="574"/>
      <c r="B3" s="574" t="s">
        <v>917</v>
      </c>
      <c r="C3" s="574" t="s">
        <v>1058</v>
      </c>
      <c r="D3" s="574" t="s">
        <v>707</v>
      </c>
      <c r="E3" s="574" t="s">
        <v>707</v>
      </c>
      <c r="F3" s="574" t="s">
        <v>707</v>
      </c>
      <c r="G3" s="574" t="s">
        <v>707</v>
      </c>
      <c r="H3" s="574" t="s">
        <v>707</v>
      </c>
      <c r="I3" s="574">
        <v>0</v>
      </c>
      <c r="J3" s="574">
        <v>619</v>
      </c>
      <c r="K3" s="574"/>
      <c r="L3" s="574"/>
      <c r="M3" s="574"/>
      <c r="N3" s="574"/>
      <c r="O3" s="574"/>
      <c r="P3" s="574"/>
      <c r="Q3" s="574"/>
      <c r="R3" s="574"/>
      <c r="S3" s="574"/>
      <c r="T3" s="574"/>
      <c r="U3" s="574"/>
      <c r="V3" s="574"/>
      <c r="W3" s="574"/>
      <c r="X3" s="574"/>
      <c r="Y3" s="574"/>
      <c r="Z3" s="574"/>
      <c r="AA3" s="574"/>
      <c r="AB3" s="574"/>
      <c r="AC3" s="574"/>
      <c r="AD3" s="574"/>
      <c r="AE3" s="574"/>
      <c r="AF3" s="574"/>
      <c r="AG3" s="574"/>
      <c r="AH3" s="574"/>
      <c r="AI3" s="574"/>
      <c r="AJ3" s="574"/>
      <c r="AK3" s="574"/>
      <c r="AL3" s="574"/>
      <c r="AM3" s="574"/>
      <c r="AN3" s="574"/>
      <c r="AO3" s="574"/>
      <c r="AP3" s="574"/>
    </row>
    <row r="4" spans="1:42" ht="15" x14ac:dyDescent="0.25">
      <c r="A4" s="574" t="s">
        <v>1052</v>
      </c>
      <c r="B4" s="574" t="s">
        <v>917</v>
      </c>
      <c r="C4" s="574" t="s">
        <v>1051</v>
      </c>
      <c r="D4" s="574" t="s">
        <v>707</v>
      </c>
      <c r="E4" s="574" t="s">
        <v>707</v>
      </c>
      <c r="F4" s="574" t="s">
        <v>707</v>
      </c>
      <c r="G4" s="574" t="s">
        <v>707</v>
      </c>
      <c r="H4" s="574" t="s">
        <v>707</v>
      </c>
      <c r="I4" s="574">
        <v>0</v>
      </c>
      <c r="J4" s="574">
        <v>0</v>
      </c>
      <c r="K4" s="574"/>
      <c r="L4" s="574"/>
      <c r="M4" s="574"/>
      <c r="N4" s="574"/>
      <c r="O4" s="574"/>
      <c r="P4" s="574"/>
      <c r="Q4" s="574"/>
      <c r="R4" s="574"/>
      <c r="S4" s="574"/>
      <c r="T4" s="574"/>
      <c r="U4" s="574"/>
      <c r="V4" s="574"/>
      <c r="W4" s="574"/>
      <c r="X4" s="574"/>
      <c r="Y4" s="574"/>
      <c r="Z4" s="574"/>
      <c r="AA4" s="574"/>
      <c r="AB4" s="574"/>
      <c r="AC4" s="574"/>
      <c r="AD4" s="574"/>
      <c r="AE4" s="574"/>
      <c r="AF4" s="574"/>
      <c r="AG4" s="574"/>
      <c r="AH4" s="574"/>
      <c r="AI4" s="574"/>
      <c r="AJ4" s="574"/>
      <c r="AK4" s="574"/>
      <c r="AL4" s="574"/>
      <c r="AM4" s="574"/>
      <c r="AN4" s="574"/>
      <c r="AO4" s="574"/>
      <c r="AP4" s="574"/>
    </row>
    <row r="5" spans="1:42" ht="15" x14ac:dyDescent="0.25">
      <c r="A5" s="574"/>
      <c r="B5" s="574" t="s">
        <v>917</v>
      </c>
      <c r="C5" s="574" t="s">
        <v>1047</v>
      </c>
      <c r="D5" s="574" t="s">
        <v>707</v>
      </c>
      <c r="E5" s="574" t="s">
        <v>707</v>
      </c>
      <c r="F5" s="574" t="s">
        <v>707</v>
      </c>
      <c r="G5" s="574" t="s">
        <v>707</v>
      </c>
      <c r="H5" s="574" t="s">
        <v>707</v>
      </c>
      <c r="I5" s="574">
        <v>0</v>
      </c>
      <c r="J5" s="574">
        <v>1413</v>
      </c>
      <c r="K5" s="574"/>
      <c r="L5" s="574"/>
      <c r="M5" s="574"/>
      <c r="N5" s="574"/>
      <c r="O5" s="574"/>
      <c r="P5" s="574"/>
      <c r="Q5" s="574"/>
      <c r="R5" s="574"/>
      <c r="S5" s="574"/>
      <c r="T5" s="574"/>
      <c r="U5" s="574"/>
      <c r="V5" s="574"/>
      <c r="W5" s="574"/>
      <c r="X5" s="574"/>
      <c r="Y5" s="574"/>
      <c r="Z5" s="574"/>
      <c r="AA5" s="574"/>
      <c r="AB5" s="574"/>
      <c r="AC5" s="574"/>
      <c r="AD5" s="574"/>
      <c r="AE5" s="574"/>
      <c r="AF5" s="574"/>
      <c r="AG5" s="574"/>
      <c r="AH5" s="574"/>
      <c r="AI5" s="574"/>
      <c r="AJ5" s="574"/>
      <c r="AK5" s="574"/>
      <c r="AL5" s="574"/>
      <c r="AM5" s="574"/>
      <c r="AN5" s="574"/>
      <c r="AO5" s="574"/>
      <c r="AP5" s="574"/>
    </row>
    <row r="6" spans="1:42" ht="15" x14ac:dyDescent="0.25">
      <c r="A6" s="574"/>
      <c r="B6" s="574" t="s">
        <v>926</v>
      </c>
      <c r="C6" s="574" t="s">
        <v>1069</v>
      </c>
      <c r="D6" s="574" t="s">
        <v>707</v>
      </c>
      <c r="E6" s="574" t="s">
        <v>1090</v>
      </c>
      <c r="F6" s="574" t="s">
        <v>707</v>
      </c>
      <c r="G6" s="574" t="s">
        <v>1101</v>
      </c>
      <c r="H6" s="574" t="s">
        <v>707</v>
      </c>
      <c r="I6" s="574">
        <v>0</v>
      </c>
      <c r="J6" s="574">
        <v>1</v>
      </c>
      <c r="K6" s="574"/>
      <c r="L6" s="574"/>
      <c r="M6" s="574"/>
      <c r="N6" s="574"/>
      <c r="O6" s="574"/>
      <c r="P6" s="574"/>
      <c r="Q6" s="574"/>
      <c r="R6" s="574"/>
      <c r="S6" s="574"/>
      <c r="T6" s="574"/>
      <c r="U6" s="574"/>
      <c r="V6" s="574"/>
      <c r="W6" s="574"/>
      <c r="X6" s="574"/>
      <c r="Y6" s="574"/>
      <c r="Z6" s="574"/>
      <c r="AA6" s="574"/>
      <c r="AB6" s="574"/>
      <c r="AC6" s="574"/>
      <c r="AD6" s="574"/>
      <c r="AE6" s="574"/>
      <c r="AF6" s="574"/>
      <c r="AG6" s="574"/>
      <c r="AH6" s="574"/>
      <c r="AI6" s="574"/>
      <c r="AJ6" s="574"/>
      <c r="AK6" s="574"/>
      <c r="AL6" s="574"/>
      <c r="AM6" s="574"/>
      <c r="AN6" s="574"/>
      <c r="AO6" s="574"/>
      <c r="AP6" s="574"/>
    </row>
    <row r="7" spans="1:42" ht="15" x14ac:dyDescent="0.25">
      <c r="A7" s="574"/>
      <c r="B7" s="574" t="s">
        <v>926</v>
      </c>
      <c r="C7" s="574" t="s">
        <v>1067</v>
      </c>
      <c r="D7" s="574" t="s">
        <v>707</v>
      </c>
      <c r="E7" s="574" t="s">
        <v>1090</v>
      </c>
      <c r="F7" s="574" t="s">
        <v>707</v>
      </c>
      <c r="G7" s="574" t="s">
        <v>1101</v>
      </c>
      <c r="H7" s="574" t="s">
        <v>707</v>
      </c>
      <c r="I7" s="574">
        <v>0</v>
      </c>
      <c r="J7" s="574">
        <v>1.43</v>
      </c>
      <c r="K7" s="574"/>
      <c r="L7" s="574"/>
      <c r="M7" s="574"/>
      <c r="N7" s="574"/>
      <c r="O7" s="574"/>
      <c r="P7" s="574"/>
      <c r="Q7" s="574"/>
      <c r="R7" s="575">
        <f>'HDRI scenario'!Q7</f>
        <v>1.5037593984962405</v>
      </c>
      <c r="U7" s="574"/>
      <c r="V7" s="574"/>
      <c r="W7" s="574"/>
      <c r="X7" s="574"/>
      <c r="Y7" s="574"/>
      <c r="Z7" s="574"/>
      <c r="AA7" s="574"/>
      <c r="AB7" s="575">
        <f>'HDRI scenario'!R7</f>
        <v>1.4705882352941178</v>
      </c>
      <c r="AD7" s="574"/>
      <c r="AE7" s="574"/>
      <c r="AF7" s="574"/>
      <c r="AG7" s="574"/>
      <c r="AH7" s="574"/>
      <c r="AI7" s="574"/>
      <c r="AJ7" s="574"/>
      <c r="AK7" s="574"/>
      <c r="AL7" s="574"/>
      <c r="AM7" s="574"/>
      <c r="AN7" s="575">
        <f>'HDRI scenario'!S7</f>
        <v>1.3333333333333333</v>
      </c>
      <c r="AO7" s="574"/>
      <c r="AP7" s="574"/>
    </row>
    <row r="8" spans="1:42" ht="15" x14ac:dyDescent="0.25">
      <c r="A8" s="574"/>
      <c r="B8" s="574" t="s">
        <v>926</v>
      </c>
      <c r="C8" s="574" t="s">
        <v>1061</v>
      </c>
      <c r="D8" s="574" t="s">
        <v>707</v>
      </c>
      <c r="E8" s="574" t="s">
        <v>1090</v>
      </c>
      <c r="F8" s="574" t="s">
        <v>707</v>
      </c>
      <c r="G8" s="574" t="s">
        <v>1101</v>
      </c>
      <c r="H8" s="574" t="s">
        <v>707</v>
      </c>
      <c r="I8" s="574">
        <v>0</v>
      </c>
      <c r="J8" s="574">
        <v>1</v>
      </c>
      <c r="K8" s="574"/>
      <c r="L8" s="574"/>
      <c r="M8" s="574"/>
      <c r="N8" s="574"/>
      <c r="O8" s="574"/>
      <c r="P8" s="574"/>
      <c r="Q8" s="574"/>
      <c r="R8" s="574"/>
      <c r="S8" s="574"/>
      <c r="T8" s="574"/>
      <c r="U8" s="574"/>
      <c r="V8" s="574"/>
      <c r="W8" s="574"/>
      <c r="X8" s="574"/>
      <c r="Y8" s="574"/>
      <c r="Z8" s="574"/>
      <c r="AA8" s="574"/>
      <c r="AB8" s="574"/>
      <c r="AC8" s="574"/>
      <c r="AD8" s="574"/>
      <c r="AE8" s="574"/>
      <c r="AF8" s="574"/>
      <c r="AG8" s="574"/>
      <c r="AH8" s="574"/>
      <c r="AI8" s="574"/>
      <c r="AJ8" s="574"/>
      <c r="AK8" s="574"/>
      <c r="AL8" s="574"/>
      <c r="AM8" s="574"/>
      <c r="AN8" s="574"/>
      <c r="AO8" s="574"/>
      <c r="AP8" s="574"/>
    </row>
    <row r="9" spans="1:42" ht="15" x14ac:dyDescent="0.25">
      <c r="A9" s="574" t="s">
        <v>1052</v>
      </c>
      <c r="B9" s="574" t="s">
        <v>926</v>
      </c>
      <c r="C9" s="574" t="s">
        <v>1051</v>
      </c>
      <c r="D9" s="574" t="s">
        <v>707</v>
      </c>
      <c r="E9" s="574" t="s">
        <v>1090</v>
      </c>
      <c r="F9" s="574" t="s">
        <v>707</v>
      </c>
      <c r="G9" s="574" t="s">
        <v>1101</v>
      </c>
      <c r="H9" s="574" t="s">
        <v>707</v>
      </c>
      <c r="I9" s="574">
        <v>0</v>
      </c>
      <c r="J9" s="574">
        <v>1</v>
      </c>
      <c r="K9" s="574"/>
      <c r="L9" s="574"/>
      <c r="M9" s="574"/>
      <c r="N9" s="574"/>
      <c r="O9" s="574"/>
      <c r="P9" s="574"/>
      <c r="Q9" s="574"/>
      <c r="R9" s="574"/>
      <c r="S9" s="574"/>
      <c r="T9" s="574"/>
      <c r="U9" s="574"/>
      <c r="V9" s="574"/>
      <c r="W9" s="574"/>
      <c r="X9" s="574"/>
      <c r="Y9" s="574"/>
      <c r="Z9" s="574"/>
      <c r="AA9" s="574"/>
      <c r="AB9" s="574"/>
      <c r="AC9" s="574"/>
      <c r="AD9" s="574"/>
      <c r="AE9" s="574"/>
      <c r="AF9" s="574"/>
      <c r="AG9" s="574"/>
      <c r="AH9" s="574"/>
      <c r="AI9" s="574"/>
      <c r="AJ9" s="574"/>
      <c r="AK9" s="574"/>
      <c r="AL9" s="574"/>
      <c r="AM9" s="574"/>
      <c r="AN9" s="574"/>
      <c r="AO9" s="574"/>
      <c r="AP9" s="574"/>
    </row>
    <row r="10" spans="1:42" ht="15" x14ac:dyDescent="0.25">
      <c r="A10" s="574"/>
      <c r="B10" s="574" t="s">
        <v>926</v>
      </c>
      <c r="C10" s="574" t="s">
        <v>1043</v>
      </c>
      <c r="D10" s="574" t="s">
        <v>707</v>
      </c>
      <c r="E10" s="574" t="s">
        <v>1090</v>
      </c>
      <c r="F10" s="574" t="s">
        <v>707</v>
      </c>
      <c r="G10" s="574" t="s">
        <v>1101</v>
      </c>
      <c r="H10" s="574" t="s">
        <v>707</v>
      </c>
      <c r="I10" s="574">
        <v>0</v>
      </c>
      <c r="J10" s="574">
        <v>1</v>
      </c>
      <c r="K10" s="574"/>
      <c r="L10" s="574"/>
      <c r="M10" s="574"/>
      <c r="N10" s="574"/>
      <c r="O10" s="574"/>
      <c r="P10" s="574"/>
      <c r="Q10" s="574"/>
      <c r="R10" s="574"/>
      <c r="S10" s="574"/>
      <c r="T10" s="574"/>
      <c r="U10" s="574"/>
      <c r="V10" s="574"/>
      <c r="W10" s="574"/>
      <c r="X10" s="574"/>
      <c r="Y10" s="574"/>
      <c r="Z10" s="574"/>
      <c r="AA10" s="574"/>
      <c r="AB10" s="574"/>
      <c r="AC10" s="574"/>
      <c r="AD10" s="574"/>
      <c r="AE10" s="574"/>
      <c r="AF10" s="574"/>
      <c r="AG10" s="574"/>
      <c r="AH10" s="574"/>
      <c r="AI10" s="574"/>
      <c r="AJ10" s="574"/>
      <c r="AK10" s="574"/>
      <c r="AL10" s="574"/>
      <c r="AM10" s="574"/>
      <c r="AN10" s="574"/>
      <c r="AO10" s="574"/>
      <c r="AP10" s="574"/>
    </row>
    <row r="11" spans="1:42" ht="15" x14ac:dyDescent="0.25">
      <c r="A11" s="574"/>
      <c r="B11" s="574" t="s">
        <v>906</v>
      </c>
      <c r="C11" s="574" t="s">
        <v>1063</v>
      </c>
      <c r="D11" s="574" t="s">
        <v>707</v>
      </c>
      <c r="E11" s="574" t="s">
        <v>1036</v>
      </c>
      <c r="F11" s="574" t="s">
        <v>1039</v>
      </c>
      <c r="G11" s="574" t="s">
        <v>1101</v>
      </c>
      <c r="H11" s="574" t="s">
        <v>707</v>
      </c>
      <c r="I11" s="574">
        <v>0</v>
      </c>
      <c r="J11" s="574">
        <v>3.71</v>
      </c>
      <c r="K11" s="574"/>
      <c r="L11" s="574"/>
      <c r="M11" s="574"/>
      <c r="N11" s="574"/>
      <c r="O11" s="574"/>
      <c r="P11" s="574"/>
      <c r="Q11" s="574"/>
      <c r="R11" s="574"/>
      <c r="S11" s="574"/>
      <c r="T11" s="574"/>
      <c r="U11" s="574"/>
      <c r="V11" s="574"/>
      <c r="W11" s="574"/>
      <c r="X11" s="574"/>
      <c r="Y11" s="574"/>
      <c r="Z11" s="574"/>
      <c r="AA11" s="574"/>
      <c r="AB11" s="574"/>
      <c r="AC11" s="574"/>
      <c r="AD11" s="574"/>
      <c r="AE11" s="574"/>
      <c r="AF11" s="574"/>
      <c r="AG11" s="574"/>
      <c r="AH11" s="574"/>
      <c r="AI11" s="574"/>
      <c r="AJ11" s="574"/>
      <c r="AK11" s="574"/>
      <c r="AL11" s="574"/>
      <c r="AM11" s="574"/>
      <c r="AN11" s="574"/>
      <c r="AO11" s="574"/>
      <c r="AP11" s="574"/>
    </row>
    <row r="12" spans="1:42" ht="15" x14ac:dyDescent="0.25">
      <c r="A12" s="574"/>
      <c r="B12" s="574" t="s">
        <v>906</v>
      </c>
      <c r="C12" s="574" t="s">
        <v>1055</v>
      </c>
      <c r="D12" s="574" t="s">
        <v>707</v>
      </c>
      <c r="E12" s="574" t="s">
        <v>1072</v>
      </c>
      <c r="F12" s="574" t="s">
        <v>1076</v>
      </c>
      <c r="G12" s="574" t="s">
        <v>1101</v>
      </c>
      <c r="H12" s="574" t="s">
        <v>707</v>
      </c>
      <c r="I12" s="574">
        <v>0</v>
      </c>
      <c r="J12" s="574">
        <v>0.03</v>
      </c>
      <c r="K12" s="574"/>
      <c r="L12" s="574"/>
      <c r="M12" s="574"/>
      <c r="N12" s="574"/>
      <c r="O12" s="574"/>
      <c r="P12" s="574"/>
      <c r="Q12" s="574"/>
      <c r="R12" s="574"/>
      <c r="S12" s="574"/>
      <c r="T12" s="574"/>
      <c r="U12" s="574"/>
      <c r="V12" s="574"/>
      <c r="W12" s="574"/>
      <c r="X12" s="574"/>
      <c r="Y12" s="574"/>
      <c r="Z12" s="574"/>
      <c r="AA12" s="574"/>
      <c r="AB12" s="574"/>
      <c r="AC12" s="574"/>
      <c r="AD12" s="574"/>
      <c r="AE12" s="574"/>
      <c r="AF12" s="574"/>
      <c r="AG12" s="574"/>
      <c r="AH12" s="574"/>
      <c r="AI12" s="574"/>
      <c r="AJ12" s="574"/>
      <c r="AK12" s="574"/>
      <c r="AL12" s="574"/>
      <c r="AM12" s="574"/>
      <c r="AN12" s="574"/>
      <c r="AO12" s="574"/>
      <c r="AP12" s="574"/>
    </row>
    <row r="13" spans="1:42" ht="15" x14ac:dyDescent="0.25">
      <c r="A13" s="574"/>
      <c r="B13" s="574" t="s">
        <v>908</v>
      </c>
      <c r="C13" s="574" t="s">
        <v>1063</v>
      </c>
      <c r="D13" s="574" t="s">
        <v>1081</v>
      </c>
      <c r="E13" s="574" t="s">
        <v>1039</v>
      </c>
      <c r="F13" s="574" t="s">
        <v>707</v>
      </c>
      <c r="G13" s="574" t="s">
        <v>1101</v>
      </c>
      <c r="H13" s="574" t="s">
        <v>1102</v>
      </c>
      <c r="I13" s="574">
        <v>5</v>
      </c>
      <c r="J13" s="574">
        <v>0.26900000000000002</v>
      </c>
      <c r="K13" s="574"/>
      <c r="L13" s="574"/>
      <c r="M13" s="574"/>
      <c r="N13" s="574"/>
      <c r="O13" s="574"/>
      <c r="P13" s="574"/>
      <c r="Q13" s="574"/>
      <c r="R13" s="574"/>
      <c r="S13" s="574"/>
      <c r="T13" s="574"/>
      <c r="U13" s="574"/>
      <c r="V13" s="574"/>
      <c r="W13" s="574"/>
      <c r="X13" s="574"/>
      <c r="Y13" s="574"/>
      <c r="Z13" s="574"/>
      <c r="AA13" s="574"/>
      <c r="AB13" s="574"/>
      <c r="AC13" s="574"/>
      <c r="AD13" s="574"/>
      <c r="AE13" s="574"/>
      <c r="AF13" s="574"/>
      <c r="AG13" s="574"/>
      <c r="AH13" s="574"/>
      <c r="AI13" s="574"/>
      <c r="AJ13" s="574"/>
      <c r="AK13" s="574"/>
      <c r="AL13" s="574"/>
      <c r="AM13" s="574"/>
      <c r="AN13" s="574"/>
      <c r="AO13" s="574"/>
      <c r="AP13" s="574"/>
    </row>
    <row r="14" spans="1:42" ht="15" x14ac:dyDescent="0.25">
      <c r="A14" s="574"/>
      <c r="B14" s="574" t="s">
        <v>908</v>
      </c>
      <c r="C14" s="574" t="s">
        <v>1063</v>
      </c>
      <c r="D14" s="574" t="s">
        <v>1076</v>
      </c>
      <c r="E14" s="574" t="s">
        <v>1039</v>
      </c>
      <c r="F14" s="574" t="s">
        <v>707</v>
      </c>
      <c r="G14" s="574" t="s">
        <v>1101</v>
      </c>
      <c r="H14" s="574" t="s">
        <v>1102</v>
      </c>
      <c r="I14" s="574">
        <v>5</v>
      </c>
      <c r="J14" s="574">
        <v>0.73099999999999998</v>
      </c>
      <c r="K14" s="574"/>
      <c r="L14" s="574"/>
      <c r="M14" s="574"/>
      <c r="N14" s="574"/>
      <c r="O14" s="574"/>
      <c r="P14" s="574"/>
      <c r="Q14" s="574"/>
      <c r="R14" s="574"/>
      <c r="S14" s="574"/>
      <c r="T14" s="574"/>
      <c r="U14" s="574"/>
      <c r="V14" s="574"/>
      <c r="W14" s="574"/>
      <c r="X14" s="574"/>
      <c r="Y14" s="574"/>
      <c r="Z14" s="574"/>
      <c r="AA14" s="574"/>
      <c r="AB14" s="574"/>
      <c r="AC14" s="574"/>
      <c r="AD14" s="574"/>
      <c r="AE14" s="574"/>
      <c r="AF14" s="574"/>
      <c r="AG14" s="574"/>
      <c r="AH14" s="574"/>
      <c r="AI14" s="574"/>
      <c r="AJ14" s="574"/>
      <c r="AK14" s="574"/>
      <c r="AL14" s="574"/>
      <c r="AM14" s="574"/>
      <c r="AN14" s="574"/>
      <c r="AO14" s="574"/>
      <c r="AP14" s="574"/>
    </row>
    <row r="15" spans="1:42" ht="15" x14ac:dyDescent="0.25">
      <c r="A15" s="574"/>
      <c r="B15" s="574" t="s">
        <v>1093</v>
      </c>
      <c r="C15" s="574" t="s">
        <v>1065</v>
      </c>
      <c r="D15" s="574" t="s">
        <v>707</v>
      </c>
      <c r="E15" s="574" t="s">
        <v>707</v>
      </c>
      <c r="F15" s="574" t="s">
        <v>707</v>
      </c>
      <c r="G15" s="574" t="s">
        <v>1101</v>
      </c>
      <c r="H15" s="574" t="s">
        <v>594</v>
      </c>
      <c r="I15" s="574">
        <v>0</v>
      </c>
      <c r="J15" s="574"/>
      <c r="K15" s="574"/>
      <c r="L15" s="574"/>
      <c r="M15" s="574"/>
      <c r="N15" s="574"/>
      <c r="O15" s="574"/>
      <c r="P15" s="574"/>
      <c r="Q15" s="574"/>
      <c r="R15" s="574">
        <v>1</v>
      </c>
      <c r="S15" s="574"/>
      <c r="T15" s="574"/>
      <c r="U15" s="574"/>
      <c r="V15" s="574"/>
      <c r="W15" s="574"/>
      <c r="X15" s="574"/>
      <c r="Y15" s="574"/>
      <c r="Z15" s="574"/>
      <c r="AA15" s="574"/>
      <c r="AB15" s="574"/>
      <c r="AC15" s="574"/>
      <c r="AD15" s="574"/>
      <c r="AE15" s="574"/>
      <c r="AF15" s="574"/>
      <c r="AG15" s="574"/>
      <c r="AH15" s="574"/>
      <c r="AI15" s="574"/>
      <c r="AJ15" s="574"/>
      <c r="AK15" s="574"/>
      <c r="AL15" s="574"/>
      <c r="AM15" s="574"/>
      <c r="AN15" s="574"/>
      <c r="AO15" s="574"/>
      <c r="AP15" s="574"/>
    </row>
    <row r="16" spans="1:42" ht="15" x14ac:dyDescent="0.25">
      <c r="A16" s="574"/>
      <c r="B16" s="574" t="s">
        <v>1093</v>
      </c>
      <c r="C16" s="574" t="s">
        <v>1058</v>
      </c>
      <c r="D16" s="574" t="s">
        <v>707</v>
      </c>
      <c r="E16" s="574" t="s">
        <v>707</v>
      </c>
      <c r="F16" s="574" t="s">
        <v>707</v>
      </c>
      <c r="G16" s="574" t="s">
        <v>1101</v>
      </c>
      <c r="H16" s="574" t="s">
        <v>594</v>
      </c>
      <c r="I16" s="574">
        <v>0</v>
      </c>
      <c r="J16" s="574">
        <v>0.9</v>
      </c>
      <c r="K16" s="574"/>
      <c r="L16" s="574"/>
      <c r="M16" s="574"/>
      <c r="N16" s="574"/>
      <c r="O16" s="574"/>
      <c r="P16" s="574"/>
      <c r="Q16" s="574"/>
      <c r="R16" s="574"/>
      <c r="S16" s="574"/>
      <c r="T16" s="574"/>
      <c r="U16" s="574"/>
      <c r="V16" s="574"/>
      <c r="W16" s="574"/>
      <c r="X16" s="574"/>
      <c r="Y16" s="574"/>
      <c r="Z16" s="574"/>
      <c r="AA16" s="574"/>
      <c r="AB16" s="574"/>
      <c r="AC16" s="574"/>
      <c r="AD16" s="574"/>
      <c r="AE16" s="574"/>
      <c r="AF16" s="574"/>
      <c r="AG16" s="574"/>
      <c r="AH16" s="574"/>
      <c r="AI16" s="574"/>
      <c r="AJ16" s="574"/>
      <c r="AK16" s="574"/>
      <c r="AL16" s="574"/>
      <c r="AM16" s="574"/>
      <c r="AN16" s="574"/>
      <c r="AO16" s="574"/>
      <c r="AP16" s="574"/>
    </row>
    <row r="17" spans="1:42" ht="15" x14ac:dyDescent="0.25">
      <c r="A17" s="574" t="s">
        <v>1052</v>
      </c>
      <c r="B17" s="574" t="s">
        <v>1093</v>
      </c>
      <c r="C17" s="574" t="s">
        <v>1051</v>
      </c>
      <c r="D17" s="574" t="s">
        <v>707</v>
      </c>
      <c r="E17" s="574" t="s">
        <v>707</v>
      </c>
      <c r="F17" s="574" t="s">
        <v>707</v>
      </c>
      <c r="G17" s="574" t="s">
        <v>1100</v>
      </c>
      <c r="H17" s="574" t="s">
        <v>594</v>
      </c>
      <c r="I17" s="574">
        <v>0</v>
      </c>
      <c r="J17" s="574">
        <v>0</v>
      </c>
      <c r="K17" s="574"/>
      <c r="L17" s="574"/>
      <c r="M17" s="574"/>
      <c r="N17" s="574"/>
      <c r="O17" s="574"/>
      <c r="P17" s="574"/>
      <c r="Q17" s="574"/>
      <c r="R17" s="574"/>
      <c r="S17" s="574"/>
      <c r="T17" s="574"/>
      <c r="U17" s="574"/>
      <c r="V17" s="574"/>
      <c r="W17" s="574"/>
      <c r="X17" s="574"/>
      <c r="Y17" s="574"/>
      <c r="Z17" s="574"/>
      <c r="AA17" s="574"/>
      <c r="AB17" s="574"/>
      <c r="AC17" s="574"/>
      <c r="AD17" s="574"/>
      <c r="AE17" s="574"/>
      <c r="AF17" s="574"/>
      <c r="AG17" s="574"/>
      <c r="AH17" s="574"/>
      <c r="AI17" s="574"/>
      <c r="AJ17" s="574"/>
      <c r="AK17" s="574"/>
      <c r="AL17" s="574"/>
      <c r="AM17" s="574"/>
      <c r="AN17" s="574"/>
      <c r="AO17" s="574"/>
      <c r="AP17" s="574"/>
    </row>
    <row r="18" spans="1:42" ht="15" x14ac:dyDescent="0.25">
      <c r="A18" s="574" t="s">
        <v>1052</v>
      </c>
      <c r="B18" s="574" t="s">
        <v>1093</v>
      </c>
      <c r="C18" s="574" t="s">
        <v>1051</v>
      </c>
      <c r="D18" s="574" t="s">
        <v>707</v>
      </c>
      <c r="E18" s="574" t="s">
        <v>707</v>
      </c>
      <c r="F18" s="574" t="s">
        <v>707</v>
      </c>
      <c r="G18" s="574" t="s">
        <v>1099</v>
      </c>
      <c r="H18" s="574" t="s">
        <v>594</v>
      </c>
      <c r="I18" s="574">
        <v>0</v>
      </c>
      <c r="J18" s="574">
        <v>0.62631000000000003</v>
      </c>
      <c r="K18" s="574"/>
      <c r="L18" s="574"/>
      <c r="M18" s="574"/>
      <c r="N18" s="574"/>
      <c r="O18" s="574"/>
      <c r="P18" s="574"/>
      <c r="Q18" s="574"/>
      <c r="R18" s="574"/>
      <c r="S18" s="574"/>
      <c r="T18" s="574"/>
      <c r="U18" s="574"/>
      <c r="V18" s="574"/>
      <c r="W18" s="574"/>
      <c r="X18" s="574"/>
      <c r="Y18" s="574"/>
      <c r="Z18" s="574"/>
      <c r="AA18" s="574"/>
      <c r="AB18" s="574"/>
      <c r="AC18" s="574"/>
      <c r="AD18" s="574"/>
      <c r="AE18" s="574"/>
      <c r="AF18" s="574"/>
      <c r="AG18" s="574"/>
      <c r="AH18" s="574"/>
      <c r="AI18" s="574"/>
      <c r="AJ18" s="574"/>
      <c r="AK18" s="574"/>
      <c r="AL18" s="574"/>
      <c r="AM18" s="574"/>
      <c r="AN18" s="574"/>
      <c r="AO18" s="574"/>
      <c r="AP18" s="574"/>
    </row>
    <row r="19" spans="1:42" ht="15" x14ac:dyDescent="0.25">
      <c r="A19" s="574" t="s">
        <v>1052</v>
      </c>
      <c r="B19" s="574" t="s">
        <v>1093</v>
      </c>
      <c r="C19" s="574" t="s">
        <v>1051</v>
      </c>
      <c r="D19" s="574" t="s">
        <v>707</v>
      </c>
      <c r="E19" s="574" t="s">
        <v>707</v>
      </c>
      <c r="F19" s="574" t="s">
        <v>707</v>
      </c>
      <c r="G19" s="574" t="s">
        <v>1098</v>
      </c>
      <c r="H19" s="574" t="s">
        <v>594</v>
      </c>
      <c r="I19" s="574">
        <v>0</v>
      </c>
      <c r="J19" s="574">
        <v>0</v>
      </c>
      <c r="K19" s="574"/>
      <c r="L19" s="574"/>
      <c r="M19" s="574"/>
      <c r="N19" s="574"/>
      <c r="O19" s="574"/>
      <c r="P19" s="574"/>
      <c r="Q19" s="574"/>
      <c r="R19" s="574"/>
      <c r="S19" s="574"/>
      <c r="T19" s="574"/>
      <c r="U19" s="574"/>
      <c r="V19" s="574"/>
      <c r="W19" s="574"/>
      <c r="X19" s="574"/>
      <c r="Y19" s="574"/>
      <c r="Z19" s="574"/>
      <c r="AA19" s="574"/>
      <c r="AB19" s="574"/>
      <c r="AC19" s="574"/>
      <c r="AD19" s="574"/>
      <c r="AE19" s="574"/>
      <c r="AF19" s="574"/>
      <c r="AG19" s="574"/>
      <c r="AH19" s="574"/>
      <c r="AI19" s="574"/>
      <c r="AJ19" s="574"/>
      <c r="AK19" s="574"/>
      <c r="AL19" s="574"/>
      <c r="AM19" s="574"/>
      <c r="AN19" s="574"/>
      <c r="AO19" s="574"/>
      <c r="AP19" s="574"/>
    </row>
    <row r="20" spans="1:42" ht="15" x14ac:dyDescent="0.25">
      <c r="A20" s="574" t="s">
        <v>1052</v>
      </c>
      <c r="B20" s="574" t="s">
        <v>1093</v>
      </c>
      <c r="C20" s="574" t="s">
        <v>1051</v>
      </c>
      <c r="D20" s="574" t="s">
        <v>707</v>
      </c>
      <c r="E20" s="574" t="s">
        <v>707</v>
      </c>
      <c r="F20" s="574" t="s">
        <v>707</v>
      </c>
      <c r="G20" s="574" t="s">
        <v>1097</v>
      </c>
      <c r="H20" s="574" t="s">
        <v>594</v>
      </c>
      <c r="I20" s="574">
        <v>0</v>
      </c>
      <c r="J20" s="574">
        <v>0</v>
      </c>
      <c r="K20" s="574"/>
      <c r="L20" s="574"/>
      <c r="M20" s="574"/>
      <c r="N20" s="574"/>
      <c r="O20" s="574"/>
      <c r="P20" s="574"/>
      <c r="Q20" s="574"/>
      <c r="R20" s="574"/>
      <c r="S20" s="574"/>
      <c r="T20" s="574"/>
      <c r="U20" s="574"/>
      <c r="V20" s="574"/>
      <c r="W20" s="574"/>
      <c r="X20" s="574"/>
      <c r="Y20" s="574"/>
      <c r="Z20" s="574"/>
      <c r="AA20" s="574"/>
      <c r="AB20" s="574"/>
      <c r="AC20" s="574"/>
      <c r="AD20" s="574"/>
      <c r="AE20" s="574"/>
      <c r="AF20" s="574"/>
      <c r="AG20" s="574"/>
      <c r="AH20" s="574"/>
      <c r="AI20" s="574"/>
      <c r="AJ20" s="574"/>
      <c r="AK20" s="574"/>
      <c r="AL20" s="574"/>
      <c r="AM20" s="574"/>
      <c r="AN20" s="574"/>
      <c r="AO20" s="574"/>
      <c r="AP20" s="574"/>
    </row>
    <row r="21" spans="1:42" ht="15" x14ac:dyDescent="0.25">
      <c r="A21" s="574" t="s">
        <v>1052</v>
      </c>
      <c r="B21" s="574" t="s">
        <v>1093</v>
      </c>
      <c r="C21" s="574" t="s">
        <v>1051</v>
      </c>
      <c r="D21" s="574" t="s">
        <v>707</v>
      </c>
      <c r="E21" s="574" t="s">
        <v>707</v>
      </c>
      <c r="F21" s="574" t="s">
        <v>707</v>
      </c>
      <c r="G21" s="574" t="s">
        <v>1096</v>
      </c>
      <c r="H21" s="574" t="s">
        <v>594</v>
      </c>
      <c r="I21" s="574">
        <v>0</v>
      </c>
      <c r="J21" s="574">
        <v>0.33245999999999998</v>
      </c>
      <c r="K21" s="574"/>
      <c r="L21" s="574"/>
      <c r="M21" s="574"/>
      <c r="N21" s="574"/>
      <c r="O21" s="574"/>
      <c r="P21" s="574"/>
      <c r="Q21" s="574"/>
      <c r="R21" s="574"/>
      <c r="S21" s="574"/>
      <c r="T21" s="574"/>
      <c r="U21" s="574"/>
      <c r="V21" s="574"/>
      <c r="W21" s="574"/>
      <c r="X21" s="574"/>
      <c r="Y21" s="574"/>
      <c r="Z21" s="574"/>
      <c r="AA21" s="574"/>
      <c r="AB21" s="574"/>
      <c r="AC21" s="574"/>
      <c r="AD21" s="574"/>
      <c r="AE21" s="574"/>
      <c r="AF21" s="574"/>
      <c r="AG21" s="574"/>
      <c r="AH21" s="574"/>
      <c r="AI21" s="574"/>
      <c r="AJ21" s="574"/>
      <c r="AK21" s="574"/>
      <c r="AL21" s="574"/>
      <c r="AM21" s="574"/>
      <c r="AN21" s="574"/>
      <c r="AO21" s="574"/>
      <c r="AP21" s="574"/>
    </row>
    <row r="22" spans="1:42" ht="15" x14ac:dyDescent="0.25">
      <c r="A22" s="574" t="s">
        <v>1052</v>
      </c>
      <c r="B22" s="574" t="s">
        <v>1093</v>
      </c>
      <c r="C22" s="574" t="s">
        <v>1051</v>
      </c>
      <c r="D22" s="574" t="s">
        <v>707</v>
      </c>
      <c r="E22" s="574" t="s">
        <v>707</v>
      </c>
      <c r="F22" s="574" t="s">
        <v>707</v>
      </c>
      <c r="G22" s="574" t="s">
        <v>1095</v>
      </c>
      <c r="H22" s="574" t="s">
        <v>594</v>
      </c>
      <c r="I22" s="574">
        <v>0</v>
      </c>
      <c r="J22" s="574">
        <v>0.71133000000000002</v>
      </c>
      <c r="K22" s="574"/>
      <c r="L22" s="574"/>
      <c r="M22" s="574"/>
      <c r="N22" s="574"/>
      <c r="O22" s="574"/>
      <c r="P22" s="574"/>
      <c r="Q22" s="574"/>
      <c r="R22" s="574"/>
      <c r="S22" s="574"/>
      <c r="T22" s="574"/>
      <c r="U22" s="574"/>
      <c r="V22" s="574"/>
      <c r="W22" s="574"/>
      <c r="X22" s="574"/>
      <c r="Y22" s="574"/>
      <c r="Z22" s="574"/>
      <c r="AA22" s="574"/>
      <c r="AB22" s="574"/>
      <c r="AC22" s="574"/>
      <c r="AD22" s="574"/>
      <c r="AE22" s="574"/>
      <c r="AF22" s="574"/>
      <c r="AG22" s="574"/>
      <c r="AH22" s="574"/>
      <c r="AI22" s="574"/>
      <c r="AJ22" s="574"/>
      <c r="AK22" s="574"/>
      <c r="AL22" s="574"/>
      <c r="AM22" s="574"/>
      <c r="AN22" s="574"/>
      <c r="AO22" s="574"/>
      <c r="AP22" s="574"/>
    </row>
    <row r="23" spans="1:42" ht="15" x14ac:dyDescent="0.25">
      <c r="A23" s="574" t="s">
        <v>1052</v>
      </c>
      <c r="B23" s="574" t="s">
        <v>1093</v>
      </c>
      <c r="C23" s="574" t="s">
        <v>1051</v>
      </c>
      <c r="D23" s="574" t="s">
        <v>707</v>
      </c>
      <c r="E23" s="574" t="s">
        <v>707</v>
      </c>
      <c r="F23" s="574" t="s">
        <v>707</v>
      </c>
      <c r="G23" s="574" t="s">
        <v>1094</v>
      </c>
      <c r="H23" s="574" t="s">
        <v>594</v>
      </c>
      <c r="I23" s="574">
        <v>0</v>
      </c>
      <c r="J23" s="574">
        <v>0</v>
      </c>
      <c r="K23" s="574"/>
      <c r="L23" s="574"/>
      <c r="M23" s="574"/>
      <c r="N23" s="574"/>
      <c r="O23" s="574"/>
      <c r="P23" s="574"/>
      <c r="Q23" s="574"/>
      <c r="R23" s="574"/>
      <c r="S23" s="574"/>
      <c r="T23" s="574"/>
      <c r="U23" s="574"/>
      <c r="V23" s="574"/>
      <c r="W23" s="574"/>
      <c r="X23" s="574"/>
      <c r="Y23" s="574"/>
      <c r="Z23" s="574"/>
      <c r="AA23" s="574"/>
      <c r="AB23" s="574"/>
      <c r="AC23" s="574"/>
      <c r="AD23" s="574"/>
      <c r="AE23" s="574"/>
      <c r="AF23" s="574"/>
      <c r="AG23" s="574"/>
      <c r="AH23" s="574"/>
      <c r="AI23" s="574"/>
      <c r="AJ23" s="574"/>
      <c r="AK23" s="574"/>
      <c r="AL23" s="574"/>
      <c r="AM23" s="574"/>
      <c r="AN23" s="574"/>
      <c r="AO23" s="574"/>
      <c r="AP23" s="574"/>
    </row>
    <row r="24" spans="1:42" ht="15" x14ac:dyDescent="0.25">
      <c r="A24" s="574" t="s">
        <v>1052</v>
      </c>
      <c r="B24" s="574" t="s">
        <v>1093</v>
      </c>
      <c r="C24" s="574" t="s">
        <v>1051</v>
      </c>
      <c r="D24" s="574" t="s">
        <v>707</v>
      </c>
      <c r="E24" s="574" t="s">
        <v>707</v>
      </c>
      <c r="F24" s="574" t="s">
        <v>707</v>
      </c>
      <c r="G24" s="574" t="s">
        <v>1092</v>
      </c>
      <c r="H24" s="574" t="s">
        <v>594</v>
      </c>
      <c r="I24" s="574">
        <v>0</v>
      </c>
      <c r="J24" s="574">
        <v>0</v>
      </c>
      <c r="K24" s="574"/>
      <c r="L24" s="574"/>
      <c r="M24" s="574"/>
      <c r="N24" s="574"/>
      <c r="O24" s="574"/>
      <c r="P24" s="574"/>
      <c r="Q24" s="574"/>
      <c r="R24" s="574"/>
      <c r="S24" s="574"/>
      <c r="T24" s="574"/>
      <c r="U24" s="574"/>
      <c r="V24" s="574"/>
      <c r="W24" s="574"/>
      <c r="X24" s="574"/>
      <c r="Y24" s="574"/>
      <c r="Z24" s="574"/>
      <c r="AA24" s="574"/>
      <c r="AB24" s="574"/>
      <c r="AC24" s="574"/>
      <c r="AD24" s="574"/>
      <c r="AE24" s="574"/>
      <c r="AF24" s="574"/>
      <c r="AG24" s="574"/>
      <c r="AH24" s="574"/>
      <c r="AI24" s="574"/>
      <c r="AJ24" s="574"/>
      <c r="AK24" s="574"/>
      <c r="AL24" s="574"/>
      <c r="AM24" s="574"/>
      <c r="AN24" s="574"/>
      <c r="AO24" s="574"/>
      <c r="AP24" s="574"/>
    </row>
    <row r="25" spans="1:42" ht="15" x14ac:dyDescent="0.25">
      <c r="B25" s="574" t="s">
        <v>979</v>
      </c>
      <c r="C25" s="574" t="s">
        <v>1067</v>
      </c>
      <c r="D25" s="574" t="s">
        <v>707</v>
      </c>
      <c r="E25" s="574" t="s">
        <v>707</v>
      </c>
      <c r="F25" s="574" t="s">
        <v>707</v>
      </c>
      <c r="G25" s="574" t="s">
        <v>707</v>
      </c>
      <c r="H25" s="574" t="s">
        <v>594</v>
      </c>
      <c r="I25" s="574">
        <v>3</v>
      </c>
      <c r="J25" s="574">
        <v>0.9</v>
      </c>
      <c r="K25" s="574"/>
      <c r="L25" s="574"/>
      <c r="M25" s="574"/>
      <c r="N25" s="574"/>
      <c r="O25" s="574"/>
      <c r="P25" s="574"/>
      <c r="Q25" s="574"/>
      <c r="R25" s="574"/>
      <c r="S25" s="574"/>
      <c r="T25" s="574"/>
      <c r="U25" s="574"/>
      <c r="V25" s="574"/>
      <c r="W25" s="574"/>
      <c r="X25" s="574"/>
      <c r="Y25" s="574"/>
      <c r="Z25" s="574"/>
      <c r="AA25" s="574"/>
      <c r="AB25" s="574"/>
      <c r="AC25" s="574"/>
      <c r="AD25" s="574"/>
      <c r="AE25" s="574"/>
      <c r="AF25" s="574"/>
      <c r="AG25" s="574"/>
      <c r="AH25" s="574"/>
      <c r="AI25" s="574"/>
      <c r="AJ25" s="574"/>
      <c r="AK25" s="574"/>
      <c r="AL25" s="574"/>
      <c r="AM25" s="574"/>
      <c r="AN25" s="574"/>
      <c r="AO25" s="574"/>
      <c r="AP25" s="574"/>
    </row>
    <row r="26" spans="1:42" ht="15" x14ac:dyDescent="0.25">
      <c r="B26" s="574" t="s">
        <v>979</v>
      </c>
      <c r="C26" s="574" t="s">
        <v>1065</v>
      </c>
      <c r="D26" s="574" t="s">
        <v>707</v>
      </c>
      <c r="E26" s="574" t="s">
        <v>707</v>
      </c>
      <c r="F26" s="574" t="s">
        <v>707</v>
      </c>
      <c r="G26" s="574" t="s">
        <v>707</v>
      </c>
      <c r="H26" s="574" t="s">
        <v>594</v>
      </c>
      <c r="I26" s="574">
        <v>0</v>
      </c>
      <c r="J26" s="574">
        <v>0.85</v>
      </c>
      <c r="K26" s="574"/>
      <c r="L26" s="574"/>
      <c r="M26" s="574"/>
      <c r="N26" s="574"/>
      <c r="O26" s="574"/>
      <c r="P26" s="574"/>
      <c r="Q26" s="574"/>
      <c r="R26" s="574"/>
      <c r="S26" s="574"/>
      <c r="T26" s="574"/>
      <c r="U26" s="574"/>
      <c r="V26" s="574"/>
      <c r="W26" s="574"/>
      <c r="X26" s="574"/>
      <c r="Y26" s="574"/>
      <c r="Z26" s="574"/>
      <c r="AA26" s="574"/>
      <c r="AB26" s="574"/>
      <c r="AC26" s="574"/>
      <c r="AD26" s="574"/>
      <c r="AE26" s="574"/>
      <c r="AF26" s="574"/>
      <c r="AG26" s="574"/>
      <c r="AH26" s="574"/>
      <c r="AI26" s="574"/>
      <c r="AJ26" s="574"/>
      <c r="AK26" s="574"/>
      <c r="AL26" s="574"/>
      <c r="AM26" s="574"/>
      <c r="AN26" s="574"/>
      <c r="AO26" s="574"/>
      <c r="AP26" s="574"/>
    </row>
    <row r="27" spans="1:42" ht="15" x14ac:dyDescent="0.25">
      <c r="B27" s="574" t="s">
        <v>979</v>
      </c>
      <c r="C27" s="574" t="s">
        <v>1063</v>
      </c>
      <c r="D27" s="574" t="s">
        <v>707</v>
      </c>
      <c r="E27" s="574" t="s">
        <v>707</v>
      </c>
      <c r="F27" s="574" t="s">
        <v>707</v>
      </c>
      <c r="G27" s="574" t="s">
        <v>707</v>
      </c>
      <c r="H27" s="574" t="s">
        <v>594</v>
      </c>
      <c r="I27" s="574">
        <v>0</v>
      </c>
      <c r="J27" s="574">
        <v>0.9</v>
      </c>
      <c r="K27" s="574"/>
      <c r="L27" s="574"/>
      <c r="M27" s="574"/>
      <c r="N27" s="574"/>
      <c r="O27" s="574"/>
      <c r="P27" s="574"/>
      <c r="Q27" s="574"/>
      <c r="R27" s="574"/>
      <c r="S27" s="574"/>
      <c r="T27" s="574"/>
      <c r="U27" s="574"/>
      <c r="V27" s="574"/>
      <c r="W27" s="574"/>
      <c r="X27" s="574"/>
      <c r="Y27" s="574"/>
      <c r="Z27" s="574"/>
      <c r="AA27" s="574"/>
      <c r="AB27" s="574"/>
      <c r="AC27" s="574"/>
      <c r="AD27" s="574"/>
      <c r="AE27" s="574"/>
      <c r="AF27" s="574"/>
      <c r="AG27" s="574"/>
      <c r="AH27" s="574"/>
      <c r="AI27" s="574"/>
      <c r="AJ27" s="574"/>
      <c r="AK27" s="574"/>
      <c r="AL27" s="574"/>
      <c r="AM27" s="574"/>
      <c r="AN27" s="574"/>
      <c r="AO27" s="574"/>
      <c r="AP27" s="574"/>
    </row>
    <row r="28" spans="1:42" ht="15" x14ac:dyDescent="0.25">
      <c r="B28" s="574" t="s">
        <v>1091</v>
      </c>
      <c r="C28" s="574" t="s">
        <v>1065</v>
      </c>
      <c r="D28" s="574" t="s">
        <v>707</v>
      </c>
      <c r="E28" s="574" t="s">
        <v>1090</v>
      </c>
      <c r="F28" s="574" t="s">
        <v>707</v>
      </c>
      <c r="G28" s="574" t="s">
        <v>1089</v>
      </c>
      <c r="H28" s="574" t="s">
        <v>707</v>
      </c>
      <c r="I28" s="574">
        <v>0</v>
      </c>
      <c r="J28" s="574">
        <v>0.16600000000000001</v>
      </c>
      <c r="K28" s="574"/>
      <c r="L28" s="574"/>
      <c r="M28" s="574"/>
      <c r="N28" s="574"/>
      <c r="O28" s="574"/>
      <c r="P28" s="574"/>
      <c r="Q28" s="574"/>
      <c r="R28" s="574"/>
      <c r="S28" s="574"/>
      <c r="T28" s="574"/>
      <c r="U28" s="574"/>
      <c r="V28" s="574"/>
      <c r="W28" s="574"/>
      <c r="X28" s="574"/>
      <c r="Y28" s="574"/>
      <c r="Z28" s="574"/>
      <c r="AA28" s="574"/>
      <c r="AB28" s="574"/>
      <c r="AC28" s="574"/>
      <c r="AD28" s="574"/>
      <c r="AE28" s="574"/>
      <c r="AF28" s="574"/>
      <c r="AG28" s="574"/>
      <c r="AH28" s="574"/>
      <c r="AI28" s="574"/>
      <c r="AJ28" s="574"/>
      <c r="AK28" s="574"/>
      <c r="AL28" s="574"/>
      <c r="AM28" s="574"/>
      <c r="AN28" s="574"/>
      <c r="AO28" s="574"/>
      <c r="AP28" s="574"/>
    </row>
    <row r="29" spans="1:42" ht="15" x14ac:dyDescent="0.25">
      <c r="B29" s="574" t="s">
        <v>1088</v>
      </c>
      <c r="C29" s="574" t="s">
        <v>1069</v>
      </c>
      <c r="D29" s="574" t="s">
        <v>707</v>
      </c>
      <c r="E29" s="574" t="s">
        <v>707</v>
      </c>
      <c r="F29" s="574" t="s">
        <v>707</v>
      </c>
      <c r="G29" s="574" t="s">
        <v>707</v>
      </c>
      <c r="H29" s="574" t="s">
        <v>707</v>
      </c>
      <c r="I29" s="574">
        <v>0</v>
      </c>
      <c r="J29" s="574">
        <v>1E-3</v>
      </c>
      <c r="K29" s="574"/>
      <c r="L29" s="574"/>
      <c r="M29" s="574"/>
      <c r="N29" s="574"/>
      <c r="O29" s="574"/>
      <c r="P29" s="574"/>
      <c r="Q29" s="574"/>
      <c r="R29" s="574"/>
      <c r="S29" s="574"/>
      <c r="T29" s="574"/>
      <c r="U29" s="574"/>
      <c r="V29" s="574"/>
      <c r="W29" s="574"/>
      <c r="X29" s="574"/>
      <c r="Y29" s="574"/>
      <c r="Z29" s="574"/>
      <c r="AA29" s="574"/>
      <c r="AB29" s="574"/>
      <c r="AC29" s="574"/>
      <c r="AD29" s="574"/>
      <c r="AE29" s="574"/>
      <c r="AF29" s="574"/>
      <c r="AG29" s="574"/>
      <c r="AH29" s="574"/>
      <c r="AI29" s="574"/>
      <c r="AJ29" s="574"/>
      <c r="AK29" s="574"/>
      <c r="AL29" s="574"/>
      <c r="AM29" s="574"/>
      <c r="AN29" s="574"/>
      <c r="AO29" s="574"/>
      <c r="AP29" s="574"/>
    </row>
    <row r="30" spans="1:42" ht="15" x14ac:dyDescent="0.25">
      <c r="B30" s="574" t="s">
        <v>1088</v>
      </c>
      <c r="C30" s="574" t="s">
        <v>1067</v>
      </c>
      <c r="D30" s="574" t="s">
        <v>707</v>
      </c>
      <c r="E30" s="574" t="s">
        <v>707</v>
      </c>
      <c r="F30" s="574" t="s">
        <v>707</v>
      </c>
      <c r="G30" s="574" t="s">
        <v>707</v>
      </c>
      <c r="H30" s="574" t="s">
        <v>707</v>
      </c>
      <c r="I30" s="574">
        <v>0</v>
      </c>
      <c r="J30" s="574">
        <v>16903</v>
      </c>
      <c r="K30" s="574"/>
      <c r="L30" s="574"/>
      <c r="M30" s="574"/>
      <c r="N30" s="574"/>
      <c r="O30" s="574"/>
      <c r="P30" s="574"/>
      <c r="Q30" s="574"/>
      <c r="R30" s="576">
        <f>'HDRI scenario'!Q6</f>
        <v>11152.439999999999</v>
      </c>
      <c r="S30" s="574"/>
      <c r="T30" s="574"/>
      <c r="U30" s="574"/>
      <c r="V30" s="574"/>
      <c r="W30" s="574"/>
      <c r="X30" s="574"/>
      <c r="Y30" s="574"/>
      <c r="Z30" s="574"/>
      <c r="AA30" s="574"/>
      <c r="AB30" s="576">
        <f>'HDRI scenario'!R6</f>
        <v>7446.8749999999991</v>
      </c>
      <c r="AC30" s="574"/>
      <c r="AD30" s="574"/>
      <c r="AE30" s="574"/>
      <c r="AF30" s="574"/>
      <c r="AG30" s="574"/>
      <c r="AH30" s="574"/>
      <c r="AI30" s="574"/>
      <c r="AJ30" s="574"/>
      <c r="AK30" s="574"/>
      <c r="AL30" s="574"/>
      <c r="AM30" s="574"/>
      <c r="AN30" s="576">
        <f>'HDRI scenario'!S6</f>
        <v>5361.75</v>
      </c>
      <c r="AO30" s="574"/>
      <c r="AP30" s="574"/>
    </row>
    <row r="31" spans="1:42" ht="15" x14ac:dyDescent="0.25">
      <c r="B31" s="574" t="s">
        <v>1088</v>
      </c>
      <c r="C31" s="574" t="s">
        <v>1065</v>
      </c>
      <c r="D31" s="574" t="s">
        <v>707</v>
      </c>
      <c r="E31" s="574" t="s">
        <v>707</v>
      </c>
      <c r="F31" s="574" t="s">
        <v>707</v>
      </c>
      <c r="G31" s="574" t="s">
        <v>707</v>
      </c>
      <c r="H31" s="574" t="s">
        <v>707</v>
      </c>
      <c r="I31" s="574">
        <v>0</v>
      </c>
      <c r="J31" s="574"/>
      <c r="K31" s="574"/>
      <c r="L31" s="574"/>
      <c r="M31" s="574"/>
      <c r="N31" s="574"/>
      <c r="O31" s="574">
        <v>27165.063840116502</v>
      </c>
      <c r="P31" s="574"/>
      <c r="Q31" s="574"/>
      <c r="R31" s="574">
        <v>20309.8105</v>
      </c>
      <c r="S31" s="574"/>
      <c r="T31" s="574"/>
      <c r="U31" s="574"/>
      <c r="V31" s="574"/>
      <c r="W31" s="574">
        <v>14178.547</v>
      </c>
      <c r="X31" s="574"/>
      <c r="Y31" s="574"/>
      <c r="Z31" s="574"/>
      <c r="AA31" s="574"/>
      <c r="AB31" s="574">
        <v>9963.3032999999996</v>
      </c>
      <c r="AC31" s="574"/>
      <c r="AD31" s="574"/>
      <c r="AE31" s="574"/>
      <c r="AF31" s="574"/>
      <c r="AG31" s="574"/>
      <c r="AH31" s="574"/>
      <c r="AI31" s="574"/>
      <c r="AJ31" s="574"/>
      <c r="AK31" s="574"/>
      <c r="AL31" s="574">
        <v>9196.8953000000001</v>
      </c>
      <c r="AM31" s="574"/>
      <c r="AN31" s="574">
        <v>9196.8953000000001</v>
      </c>
      <c r="AO31" s="574"/>
      <c r="AP31" s="574"/>
    </row>
    <row r="32" spans="1:42" ht="15" x14ac:dyDescent="0.25">
      <c r="B32" s="574" t="s">
        <v>1088</v>
      </c>
      <c r="C32" s="574" t="s">
        <v>1063</v>
      </c>
      <c r="D32" s="574" t="s">
        <v>707</v>
      </c>
      <c r="E32" s="574" t="s">
        <v>707</v>
      </c>
      <c r="F32" s="574" t="s">
        <v>707</v>
      </c>
      <c r="G32" s="574" t="s">
        <v>707</v>
      </c>
      <c r="H32" s="574" t="s">
        <v>707</v>
      </c>
      <c r="I32" s="574">
        <v>0</v>
      </c>
      <c r="J32" s="574">
        <v>2607</v>
      </c>
      <c r="K32" s="574"/>
      <c r="L32" s="574"/>
      <c r="M32" s="574"/>
      <c r="N32" s="574"/>
      <c r="O32" s="574"/>
      <c r="P32" s="574"/>
      <c r="Q32" s="574"/>
      <c r="R32" s="574"/>
      <c r="S32" s="574"/>
      <c r="T32" s="574"/>
      <c r="U32" s="574"/>
      <c r="V32" s="574"/>
      <c r="W32" s="574"/>
      <c r="X32" s="574"/>
      <c r="Y32" s="574"/>
      <c r="Z32" s="574"/>
      <c r="AA32" s="574"/>
      <c r="AB32" s="574"/>
      <c r="AC32" s="574"/>
      <c r="AD32" s="574"/>
      <c r="AE32" s="574"/>
      <c r="AF32" s="574"/>
      <c r="AG32" s="574"/>
      <c r="AH32" s="574"/>
      <c r="AI32" s="574"/>
      <c r="AJ32" s="574"/>
      <c r="AK32" s="574"/>
      <c r="AL32" s="574"/>
      <c r="AM32" s="574"/>
      <c r="AN32" s="574"/>
      <c r="AO32" s="574"/>
      <c r="AP32" s="574"/>
    </row>
    <row r="33" spans="1:42" ht="15" x14ac:dyDescent="0.25">
      <c r="B33" s="574" t="s">
        <v>1088</v>
      </c>
      <c r="C33" s="574" t="s">
        <v>1061</v>
      </c>
      <c r="D33" s="574" t="s">
        <v>707</v>
      </c>
      <c r="E33" s="574" t="s">
        <v>707</v>
      </c>
      <c r="F33" s="574" t="s">
        <v>707</v>
      </c>
      <c r="G33" s="574" t="s">
        <v>707</v>
      </c>
      <c r="H33" s="574" t="s">
        <v>707</v>
      </c>
      <c r="I33" s="574">
        <v>0</v>
      </c>
      <c r="J33" s="574">
        <v>1</v>
      </c>
      <c r="K33" s="574"/>
      <c r="L33" s="574"/>
      <c r="M33" s="574"/>
      <c r="N33" s="574"/>
      <c r="O33" s="574"/>
      <c r="P33" s="574"/>
      <c r="Q33" s="574"/>
      <c r="R33" s="574"/>
      <c r="S33" s="574"/>
      <c r="T33" s="574"/>
      <c r="U33" s="574"/>
      <c r="V33" s="574"/>
      <c r="W33" s="574"/>
      <c r="X33" s="574"/>
      <c r="Y33" s="574"/>
      <c r="Z33" s="574"/>
      <c r="AA33" s="574"/>
      <c r="AB33" s="574"/>
      <c r="AC33" s="574"/>
      <c r="AD33" s="574"/>
      <c r="AE33" s="574"/>
      <c r="AF33" s="574"/>
      <c r="AG33" s="574"/>
      <c r="AH33" s="574"/>
      <c r="AI33" s="574"/>
      <c r="AJ33" s="574"/>
      <c r="AK33" s="574"/>
      <c r="AL33" s="574"/>
      <c r="AM33" s="574"/>
      <c r="AN33" s="574"/>
      <c r="AO33" s="574"/>
      <c r="AP33" s="574"/>
    </row>
    <row r="34" spans="1:42" ht="15" x14ac:dyDescent="0.25">
      <c r="B34" s="574" t="s">
        <v>1088</v>
      </c>
      <c r="C34" s="574" t="s">
        <v>1058</v>
      </c>
      <c r="D34" s="574" t="s">
        <v>707</v>
      </c>
      <c r="E34" s="574" t="s">
        <v>707</v>
      </c>
      <c r="F34" s="574" t="s">
        <v>707</v>
      </c>
      <c r="G34" s="574" t="s">
        <v>707</v>
      </c>
      <c r="H34" s="574" t="s">
        <v>707</v>
      </c>
      <c r="I34" s="574">
        <v>0</v>
      </c>
      <c r="J34" s="574">
        <v>3000.89</v>
      </c>
      <c r="K34" s="574"/>
      <c r="L34" s="574"/>
      <c r="M34" s="574"/>
      <c r="N34" s="574"/>
      <c r="O34" s="574"/>
      <c r="P34" s="574"/>
      <c r="Q34" s="574"/>
      <c r="R34" s="574"/>
      <c r="S34" s="574"/>
      <c r="T34" s="574"/>
      <c r="U34" s="574"/>
      <c r="V34" s="574"/>
      <c r="W34" s="574"/>
      <c r="X34" s="574"/>
      <c r="Y34" s="574"/>
      <c r="Z34" s="574"/>
      <c r="AA34" s="574"/>
      <c r="AB34" s="574"/>
      <c r="AC34" s="574"/>
      <c r="AD34" s="574"/>
      <c r="AE34" s="574"/>
      <c r="AF34" s="574"/>
      <c r="AG34" s="574"/>
      <c r="AH34" s="574"/>
      <c r="AI34" s="574"/>
      <c r="AJ34" s="574"/>
      <c r="AK34" s="574"/>
      <c r="AL34" s="574"/>
      <c r="AM34" s="574"/>
      <c r="AN34" s="574"/>
      <c r="AO34" s="574"/>
      <c r="AP34" s="574"/>
    </row>
    <row r="35" spans="1:42" ht="15" x14ac:dyDescent="0.25">
      <c r="B35" s="574" t="s">
        <v>1088</v>
      </c>
      <c r="C35" s="574" t="s">
        <v>1055</v>
      </c>
      <c r="D35" s="574" t="s">
        <v>707</v>
      </c>
      <c r="E35" s="574" t="s">
        <v>707</v>
      </c>
      <c r="F35" s="574" t="s">
        <v>707</v>
      </c>
      <c r="G35" s="574" t="s">
        <v>707</v>
      </c>
      <c r="H35" s="574" t="s">
        <v>707</v>
      </c>
      <c r="I35" s="574">
        <v>3</v>
      </c>
      <c r="J35" s="574"/>
      <c r="K35" s="574"/>
      <c r="L35" s="574"/>
      <c r="M35" s="574"/>
      <c r="N35" s="574"/>
      <c r="O35" s="574"/>
      <c r="P35" s="574"/>
      <c r="Q35" s="574"/>
      <c r="R35" s="574">
        <v>52205</v>
      </c>
      <c r="S35" s="574"/>
      <c r="T35" s="574"/>
      <c r="U35" s="574"/>
      <c r="V35" s="574"/>
      <c r="W35" s="574"/>
      <c r="X35" s="574"/>
      <c r="Y35" s="574"/>
      <c r="Z35" s="574"/>
      <c r="AA35" s="574"/>
      <c r="AB35" s="574">
        <v>34977</v>
      </c>
      <c r="AC35" s="574"/>
      <c r="AD35" s="574"/>
      <c r="AE35" s="574"/>
      <c r="AF35" s="574"/>
      <c r="AG35" s="574"/>
      <c r="AH35" s="574"/>
      <c r="AI35" s="574"/>
      <c r="AJ35" s="574"/>
      <c r="AK35" s="574"/>
      <c r="AL35" s="574"/>
      <c r="AM35" s="574"/>
      <c r="AN35" s="574">
        <v>31479.67</v>
      </c>
      <c r="AO35" s="574"/>
      <c r="AP35" s="574"/>
    </row>
    <row r="36" spans="1:42" ht="15" x14ac:dyDescent="0.25">
      <c r="A36" s="574" t="s">
        <v>1052</v>
      </c>
      <c r="B36" s="574" t="s">
        <v>1088</v>
      </c>
      <c r="C36" s="574" t="s">
        <v>1051</v>
      </c>
      <c r="D36" s="574" t="s">
        <v>707</v>
      </c>
      <c r="E36" s="574" t="s">
        <v>707</v>
      </c>
      <c r="F36" s="574" t="s">
        <v>707</v>
      </c>
      <c r="G36" s="574" t="s">
        <v>707</v>
      </c>
      <c r="H36" s="574" t="s">
        <v>707</v>
      </c>
      <c r="I36" s="574">
        <v>0</v>
      </c>
      <c r="J36" s="574">
        <v>30646.6829</v>
      </c>
      <c r="K36" s="574"/>
      <c r="L36" s="574"/>
      <c r="M36" s="574"/>
      <c r="N36" s="574"/>
      <c r="O36" s="574">
        <v>14788.1867465005</v>
      </c>
      <c r="P36" s="574"/>
      <c r="Q36" s="574"/>
      <c r="R36" s="574">
        <v>9084</v>
      </c>
      <c r="S36" s="574"/>
      <c r="T36" s="574"/>
      <c r="U36" s="574"/>
      <c r="V36" s="574"/>
      <c r="W36" s="574">
        <v>6659.5</v>
      </c>
      <c r="X36" s="574"/>
      <c r="Y36" s="574"/>
      <c r="Z36" s="574"/>
      <c r="AA36" s="574"/>
      <c r="AB36" s="574">
        <v>4235</v>
      </c>
      <c r="AC36" s="574"/>
      <c r="AD36" s="574"/>
      <c r="AE36" s="574"/>
      <c r="AF36" s="574"/>
      <c r="AG36" s="574"/>
      <c r="AH36" s="574"/>
      <c r="AI36" s="574"/>
      <c r="AJ36" s="574"/>
      <c r="AK36" s="574"/>
      <c r="AL36" s="574">
        <v>3353.13</v>
      </c>
      <c r="AM36" s="574"/>
      <c r="AN36" s="574">
        <v>3090</v>
      </c>
      <c r="AO36" s="574"/>
      <c r="AP36" s="574"/>
    </row>
    <row r="37" spans="1:42" ht="15" x14ac:dyDescent="0.25">
      <c r="B37" s="574" t="s">
        <v>1088</v>
      </c>
      <c r="C37" s="574" t="s">
        <v>1043</v>
      </c>
      <c r="D37" s="574" t="s">
        <v>707</v>
      </c>
      <c r="E37" s="574" t="s">
        <v>707</v>
      </c>
      <c r="F37" s="574" t="s">
        <v>707</v>
      </c>
      <c r="G37" s="574" t="s">
        <v>707</v>
      </c>
      <c r="H37" s="574" t="s">
        <v>707</v>
      </c>
      <c r="I37" s="574">
        <v>0</v>
      </c>
      <c r="J37" s="574">
        <v>1E-3</v>
      </c>
      <c r="K37" s="574"/>
      <c r="L37" s="574"/>
      <c r="M37" s="574"/>
      <c r="N37" s="574"/>
      <c r="O37" s="574"/>
      <c r="P37" s="574"/>
      <c r="Q37" s="574"/>
      <c r="R37" s="574"/>
      <c r="S37" s="574"/>
      <c r="T37" s="574"/>
      <c r="U37" s="574"/>
      <c r="V37" s="574"/>
      <c r="W37" s="574"/>
      <c r="X37" s="574"/>
      <c r="Y37" s="574"/>
      <c r="Z37" s="574"/>
      <c r="AA37" s="574"/>
      <c r="AB37" s="574"/>
      <c r="AC37" s="574"/>
      <c r="AD37" s="574"/>
      <c r="AE37" s="574"/>
      <c r="AF37" s="574"/>
      <c r="AG37" s="574"/>
      <c r="AH37" s="574"/>
      <c r="AI37" s="574"/>
      <c r="AJ37" s="574"/>
      <c r="AK37" s="574"/>
      <c r="AL37" s="574"/>
      <c r="AM37" s="574"/>
      <c r="AN37" s="574"/>
      <c r="AO37" s="574"/>
      <c r="AP37" s="574"/>
    </row>
    <row r="38" spans="1:42" ht="15" x14ac:dyDescent="0.25">
      <c r="B38" s="574" t="s">
        <v>956</v>
      </c>
      <c r="C38" s="574" t="s">
        <v>1067</v>
      </c>
      <c r="D38" s="574" t="s">
        <v>707</v>
      </c>
      <c r="E38" s="574" t="s">
        <v>707</v>
      </c>
      <c r="F38" s="574" t="s">
        <v>707</v>
      </c>
      <c r="G38" s="574" t="s">
        <v>707</v>
      </c>
      <c r="H38" s="574" t="s">
        <v>707</v>
      </c>
      <c r="I38" s="574">
        <v>0</v>
      </c>
      <c r="J38" s="574">
        <v>431.2</v>
      </c>
      <c r="K38" s="574"/>
      <c r="L38" s="574"/>
      <c r="M38" s="574"/>
      <c r="N38" s="574"/>
      <c r="O38" s="574"/>
      <c r="P38" s="574"/>
      <c r="Q38" s="574"/>
      <c r="R38" s="575">
        <f>'HDRI scenario'!Q9</f>
        <v>557.62199999999996</v>
      </c>
      <c r="U38" s="574"/>
      <c r="V38" s="574"/>
      <c r="Y38" s="574"/>
      <c r="Z38" s="574"/>
      <c r="AA38" s="574"/>
      <c r="AB38" s="575">
        <f>'HDRI scenario'!R9</f>
        <v>372.34375</v>
      </c>
      <c r="AD38" s="574"/>
      <c r="AE38" s="574"/>
      <c r="AF38" s="574"/>
      <c r="AG38" s="574"/>
      <c r="AH38" s="574"/>
      <c r="AI38" s="574"/>
      <c r="AJ38" s="574"/>
      <c r="AK38" s="574"/>
      <c r="AL38" s="574"/>
      <c r="AM38" s="574"/>
      <c r="AN38" s="575">
        <f>'HDRI scenario'!S9</f>
        <v>268.08750000000003</v>
      </c>
      <c r="AO38" s="574"/>
      <c r="AP38" s="574"/>
    </row>
    <row r="39" spans="1:42" ht="15" x14ac:dyDescent="0.25">
      <c r="B39" s="574" t="s">
        <v>956</v>
      </c>
      <c r="C39" s="574" t="s">
        <v>1065</v>
      </c>
      <c r="D39" s="574" t="s">
        <v>707</v>
      </c>
      <c r="E39" s="574" t="s">
        <v>707</v>
      </c>
      <c r="F39" s="574" t="s">
        <v>707</v>
      </c>
      <c r="G39" s="574" t="s">
        <v>707</v>
      </c>
      <c r="H39" s="574" t="s">
        <v>707</v>
      </c>
      <c r="I39" s="574">
        <v>0</v>
      </c>
      <c r="J39" s="574">
        <v>622.613480055021</v>
      </c>
      <c r="K39" s="574"/>
      <c r="L39" s="574"/>
      <c r="M39" s="574"/>
      <c r="N39" s="574"/>
      <c r="O39" s="574"/>
      <c r="P39" s="574"/>
      <c r="Q39" s="574"/>
      <c r="R39" s="574"/>
      <c r="S39" s="574"/>
      <c r="T39" s="574"/>
      <c r="U39" s="574"/>
      <c r="V39" s="574"/>
      <c r="W39" s="574"/>
      <c r="X39" s="574"/>
      <c r="Y39" s="574"/>
      <c r="Z39" s="574"/>
      <c r="AA39" s="574"/>
      <c r="AB39" s="574"/>
      <c r="AC39" s="574"/>
      <c r="AD39" s="574"/>
      <c r="AE39" s="574"/>
      <c r="AF39" s="574"/>
      <c r="AG39" s="574"/>
      <c r="AH39" s="574"/>
      <c r="AI39" s="574"/>
      <c r="AJ39" s="574"/>
      <c r="AK39" s="574"/>
      <c r="AL39" s="574"/>
      <c r="AM39" s="574"/>
      <c r="AN39" s="574"/>
      <c r="AO39" s="574"/>
      <c r="AP39" s="574"/>
    </row>
    <row r="40" spans="1:42" ht="15" x14ac:dyDescent="0.25">
      <c r="B40" s="574" t="s">
        <v>956</v>
      </c>
      <c r="C40" s="574" t="s">
        <v>1058</v>
      </c>
      <c r="D40" s="574" t="s">
        <v>707</v>
      </c>
      <c r="E40" s="574" t="s">
        <v>707</v>
      </c>
      <c r="F40" s="574" t="s">
        <v>707</v>
      </c>
      <c r="G40" s="574" t="s">
        <v>707</v>
      </c>
      <c r="H40" s="574" t="s">
        <v>707</v>
      </c>
      <c r="I40" s="574">
        <v>0</v>
      </c>
      <c r="J40" s="574">
        <v>150</v>
      </c>
      <c r="K40" s="574"/>
      <c r="L40" s="574"/>
      <c r="M40" s="574"/>
      <c r="N40" s="574"/>
      <c r="O40" s="574"/>
      <c r="P40" s="574"/>
      <c r="Q40" s="574"/>
      <c r="R40" s="574"/>
      <c r="S40" s="574"/>
      <c r="T40" s="574"/>
      <c r="U40" s="574"/>
      <c r="V40" s="574"/>
      <c r="W40" s="574"/>
      <c r="X40" s="574"/>
      <c r="Y40" s="574"/>
      <c r="Z40" s="574"/>
      <c r="AA40" s="574"/>
      <c r="AB40" s="574"/>
      <c r="AC40" s="574"/>
      <c r="AD40" s="574"/>
      <c r="AE40" s="574"/>
      <c r="AF40" s="574"/>
      <c r="AG40" s="574"/>
      <c r="AH40" s="574"/>
      <c r="AI40" s="574"/>
      <c r="AJ40" s="574"/>
      <c r="AK40" s="574"/>
      <c r="AL40" s="574"/>
      <c r="AM40" s="574"/>
      <c r="AN40" s="574"/>
      <c r="AO40" s="574"/>
      <c r="AP40" s="574"/>
    </row>
    <row r="41" spans="1:42" ht="15" x14ac:dyDescent="0.25">
      <c r="B41" s="574" t="s">
        <v>956</v>
      </c>
      <c r="C41" s="574" t="s">
        <v>1055</v>
      </c>
      <c r="D41" s="574" t="s">
        <v>707</v>
      </c>
      <c r="E41" s="574" t="s">
        <v>707</v>
      </c>
      <c r="F41" s="574" t="s">
        <v>707</v>
      </c>
      <c r="G41" s="574" t="s">
        <v>707</v>
      </c>
      <c r="H41" s="574" t="s">
        <v>707</v>
      </c>
      <c r="I41" s="574">
        <v>0</v>
      </c>
      <c r="J41" s="574"/>
      <c r="K41" s="574"/>
      <c r="L41" s="574"/>
      <c r="M41" s="574"/>
      <c r="N41" s="574"/>
      <c r="O41" s="574"/>
      <c r="P41" s="574"/>
      <c r="Q41" s="574"/>
      <c r="R41" s="574">
        <v>522.04999999999995</v>
      </c>
      <c r="S41" s="574"/>
      <c r="T41" s="574"/>
      <c r="U41" s="574"/>
      <c r="V41" s="574"/>
      <c r="W41" s="574"/>
      <c r="X41" s="574"/>
      <c r="Y41" s="574"/>
      <c r="Z41" s="574"/>
      <c r="AA41" s="574"/>
      <c r="AB41" s="574">
        <v>349.77</v>
      </c>
      <c r="AC41" s="574"/>
      <c r="AD41" s="574"/>
      <c r="AE41" s="574"/>
      <c r="AF41" s="574"/>
      <c r="AG41" s="574"/>
      <c r="AH41" s="574"/>
      <c r="AI41" s="574"/>
      <c r="AJ41" s="574"/>
      <c r="AK41" s="574"/>
      <c r="AL41" s="574"/>
      <c r="AM41" s="574"/>
      <c r="AN41" s="574">
        <v>314.8</v>
      </c>
      <c r="AO41" s="574"/>
      <c r="AP41" s="574"/>
    </row>
    <row r="42" spans="1:42" ht="15" x14ac:dyDescent="0.25">
      <c r="A42" s="574" t="s">
        <v>1052</v>
      </c>
      <c r="B42" s="574" t="s">
        <v>956</v>
      </c>
      <c r="C42" s="574" t="s">
        <v>1051</v>
      </c>
      <c r="D42" s="574" t="s">
        <v>707</v>
      </c>
      <c r="E42" s="574" t="s">
        <v>707</v>
      </c>
      <c r="F42" s="574" t="s">
        <v>707</v>
      </c>
      <c r="G42" s="574" t="s">
        <v>707</v>
      </c>
      <c r="H42" s="574" t="s">
        <v>707</v>
      </c>
      <c r="I42" s="574">
        <v>0</v>
      </c>
      <c r="J42" s="574">
        <v>285.84836960919199</v>
      </c>
      <c r="K42" s="574"/>
      <c r="L42" s="574"/>
      <c r="M42" s="574"/>
      <c r="N42" s="574"/>
      <c r="O42" s="574"/>
      <c r="P42" s="574"/>
      <c r="Q42" s="574"/>
      <c r="R42" s="574">
        <v>285.84840000000003</v>
      </c>
      <c r="S42" s="574"/>
      <c r="T42" s="574"/>
      <c r="U42" s="574"/>
      <c r="V42" s="574"/>
      <c r="W42" s="574">
        <v>232.25</v>
      </c>
      <c r="X42" s="574"/>
      <c r="Y42" s="574"/>
      <c r="Z42" s="574"/>
      <c r="AA42" s="574"/>
      <c r="AB42" s="574">
        <v>178.6</v>
      </c>
      <c r="AC42" s="574"/>
      <c r="AD42" s="574"/>
      <c r="AE42" s="574"/>
      <c r="AF42" s="574"/>
      <c r="AG42" s="574"/>
      <c r="AH42" s="574"/>
      <c r="AI42" s="574"/>
      <c r="AJ42" s="574"/>
      <c r="AK42" s="574"/>
      <c r="AL42" s="574"/>
      <c r="AM42" s="574"/>
      <c r="AN42" s="574"/>
      <c r="AO42" s="574"/>
      <c r="AP42" s="574"/>
    </row>
    <row r="43" spans="1:42" ht="15" x14ac:dyDescent="0.25">
      <c r="B43" s="574" t="s">
        <v>1087</v>
      </c>
      <c r="C43" s="574" t="s">
        <v>1067</v>
      </c>
      <c r="D43" s="574" t="s">
        <v>707</v>
      </c>
      <c r="E43" s="574" t="s">
        <v>707</v>
      </c>
      <c r="F43" s="574" t="s">
        <v>707</v>
      </c>
      <c r="G43" s="574" t="s">
        <v>707</v>
      </c>
      <c r="H43" s="574" t="s">
        <v>707</v>
      </c>
      <c r="I43" s="574">
        <v>0</v>
      </c>
      <c r="J43" s="574">
        <v>-1</v>
      </c>
      <c r="K43" s="574"/>
      <c r="L43" s="574"/>
      <c r="M43" s="574"/>
      <c r="N43" s="574"/>
      <c r="O43" s="574"/>
      <c r="P43" s="574"/>
      <c r="Q43" s="574"/>
      <c r="R43" s="574">
        <v>-1</v>
      </c>
      <c r="S43" s="574"/>
      <c r="T43" s="574"/>
      <c r="U43" s="574"/>
      <c r="V43" s="574"/>
      <c r="W43" s="574"/>
      <c r="X43" s="574"/>
      <c r="Y43" s="574"/>
      <c r="Z43" s="574"/>
      <c r="AA43" s="574"/>
      <c r="AB43" s="574"/>
      <c r="AC43" s="574"/>
      <c r="AD43" s="574"/>
      <c r="AE43" s="574"/>
      <c r="AF43" s="574"/>
      <c r="AG43" s="574"/>
      <c r="AH43" s="574"/>
      <c r="AI43" s="574"/>
      <c r="AJ43" s="574"/>
      <c r="AK43" s="574"/>
      <c r="AL43" s="574"/>
      <c r="AM43" s="574"/>
      <c r="AN43" s="574"/>
      <c r="AO43" s="574"/>
      <c r="AP43" s="574"/>
    </row>
    <row r="44" spans="1:42" ht="15" x14ac:dyDescent="0.25">
      <c r="B44" s="574" t="s">
        <v>1087</v>
      </c>
      <c r="C44" s="574" t="s">
        <v>1065</v>
      </c>
      <c r="D44" s="574" t="s">
        <v>707</v>
      </c>
      <c r="E44" s="574" t="s">
        <v>707</v>
      </c>
      <c r="F44" s="574" t="s">
        <v>707</v>
      </c>
      <c r="G44" s="574" t="s">
        <v>707</v>
      </c>
      <c r="H44" s="574" t="s">
        <v>707</v>
      </c>
      <c r="I44" s="574">
        <v>0</v>
      </c>
      <c r="J44" s="574">
        <v>-1</v>
      </c>
      <c r="K44" s="574"/>
      <c r="L44" s="574"/>
      <c r="M44" s="574"/>
      <c r="N44" s="574"/>
      <c r="O44" s="574"/>
      <c r="P44" s="574"/>
      <c r="Q44" s="574"/>
      <c r="R44" s="574"/>
      <c r="S44" s="574"/>
      <c r="T44" s="574"/>
      <c r="U44" s="574"/>
      <c r="V44" s="574"/>
      <c r="W44" s="574"/>
      <c r="X44" s="574"/>
      <c r="Y44" s="574"/>
      <c r="Z44" s="574"/>
      <c r="AA44" s="574"/>
      <c r="AB44" s="574"/>
      <c r="AC44" s="574"/>
      <c r="AD44" s="574"/>
      <c r="AE44" s="574"/>
      <c r="AF44" s="574"/>
      <c r="AG44" s="574"/>
      <c r="AH44" s="574"/>
      <c r="AI44" s="574"/>
      <c r="AJ44" s="574"/>
      <c r="AK44" s="574"/>
      <c r="AL44" s="574"/>
      <c r="AM44" s="574"/>
      <c r="AN44" s="574"/>
      <c r="AO44" s="574"/>
      <c r="AP44" s="574"/>
    </row>
    <row r="45" spans="1:42" ht="15" x14ac:dyDescent="0.25">
      <c r="B45" s="574" t="s">
        <v>1087</v>
      </c>
      <c r="C45" s="574" t="s">
        <v>1063</v>
      </c>
      <c r="D45" s="574" t="s">
        <v>707</v>
      </c>
      <c r="E45" s="574" t="s">
        <v>707</v>
      </c>
      <c r="F45" s="574" t="s">
        <v>707</v>
      </c>
      <c r="G45" s="574" t="s">
        <v>707</v>
      </c>
      <c r="H45" s="574" t="s">
        <v>707</v>
      </c>
      <c r="I45" s="574">
        <v>0</v>
      </c>
      <c r="J45" s="574">
        <v>-1</v>
      </c>
      <c r="K45" s="574"/>
      <c r="L45" s="574"/>
      <c r="M45" s="574"/>
      <c r="N45" s="574"/>
      <c r="O45" s="574"/>
      <c r="P45" s="574"/>
      <c r="Q45" s="574"/>
      <c r="R45" s="574"/>
      <c r="S45" s="574"/>
      <c r="T45" s="574"/>
      <c r="U45" s="574"/>
      <c r="V45" s="574"/>
      <c r="W45" s="574"/>
      <c r="X45" s="574"/>
      <c r="Y45" s="574"/>
      <c r="Z45" s="574"/>
      <c r="AA45" s="574"/>
      <c r="AB45" s="574"/>
      <c r="AC45" s="574"/>
      <c r="AD45" s="574"/>
      <c r="AE45" s="574"/>
      <c r="AF45" s="574"/>
      <c r="AG45" s="574"/>
      <c r="AH45" s="574"/>
      <c r="AI45" s="574"/>
      <c r="AJ45" s="574"/>
      <c r="AK45" s="574"/>
      <c r="AL45" s="574"/>
      <c r="AM45" s="574"/>
      <c r="AN45" s="574"/>
      <c r="AO45" s="574"/>
      <c r="AP45" s="574"/>
    </row>
    <row r="46" spans="1:42" ht="15" x14ac:dyDescent="0.25">
      <c r="B46" s="574" t="s">
        <v>1087</v>
      </c>
      <c r="C46" s="574" t="s">
        <v>1058</v>
      </c>
      <c r="D46" s="574" t="s">
        <v>707</v>
      </c>
      <c r="E46" s="574" t="s">
        <v>707</v>
      </c>
      <c r="F46" s="574" t="s">
        <v>707</v>
      </c>
      <c r="G46" s="574" t="s">
        <v>707</v>
      </c>
      <c r="H46" s="574" t="s">
        <v>707</v>
      </c>
      <c r="I46" s="574">
        <v>0</v>
      </c>
      <c r="J46" s="574">
        <v>-1</v>
      </c>
      <c r="K46" s="574"/>
      <c r="L46" s="574"/>
      <c r="M46" s="574"/>
      <c r="N46" s="574"/>
      <c r="O46" s="574"/>
      <c r="P46" s="574"/>
      <c r="Q46" s="574"/>
      <c r="R46" s="574"/>
      <c r="S46" s="574"/>
      <c r="T46" s="574"/>
      <c r="U46" s="574"/>
      <c r="V46" s="574"/>
      <c r="W46" s="574"/>
      <c r="X46" s="574"/>
      <c r="Y46" s="574"/>
      <c r="Z46" s="574"/>
      <c r="AA46" s="574"/>
      <c r="AB46" s="574"/>
      <c r="AC46" s="574"/>
      <c r="AD46" s="574"/>
      <c r="AE46" s="574"/>
      <c r="AF46" s="574"/>
      <c r="AG46" s="574"/>
      <c r="AH46" s="574"/>
      <c r="AI46" s="574"/>
      <c r="AJ46" s="574"/>
      <c r="AK46" s="574"/>
      <c r="AL46" s="574"/>
      <c r="AM46" s="574"/>
      <c r="AN46" s="574"/>
      <c r="AO46" s="574"/>
      <c r="AP46" s="574"/>
    </row>
    <row r="47" spans="1:42" ht="15" x14ac:dyDescent="0.25">
      <c r="B47" s="574" t="s">
        <v>1087</v>
      </c>
      <c r="C47" s="574" t="s">
        <v>1055</v>
      </c>
      <c r="D47" s="574" t="s">
        <v>707</v>
      </c>
      <c r="E47" s="574" t="s">
        <v>707</v>
      </c>
      <c r="F47" s="574" t="s">
        <v>707</v>
      </c>
      <c r="G47" s="574" t="s">
        <v>707</v>
      </c>
      <c r="H47" s="574" t="s">
        <v>707</v>
      </c>
      <c r="I47" s="574">
        <v>0</v>
      </c>
      <c r="J47" s="574">
        <v>-1</v>
      </c>
      <c r="K47" s="574"/>
      <c r="L47" s="574"/>
      <c r="M47" s="574"/>
      <c r="N47" s="574"/>
      <c r="O47" s="574"/>
      <c r="P47" s="574"/>
      <c r="Q47" s="574"/>
      <c r="R47" s="574"/>
      <c r="S47" s="574"/>
      <c r="T47" s="574"/>
      <c r="U47" s="574"/>
      <c r="V47" s="574"/>
      <c r="W47" s="574"/>
      <c r="X47" s="574"/>
      <c r="Y47" s="574"/>
      <c r="Z47" s="574"/>
      <c r="AA47" s="574"/>
      <c r="AB47" s="574"/>
      <c r="AC47" s="574"/>
      <c r="AD47" s="574"/>
      <c r="AE47" s="574"/>
      <c r="AF47" s="574"/>
      <c r="AG47" s="574"/>
      <c r="AH47" s="574"/>
      <c r="AI47" s="574"/>
      <c r="AJ47" s="574"/>
      <c r="AK47" s="574"/>
      <c r="AL47" s="574"/>
      <c r="AM47" s="574"/>
      <c r="AN47" s="574"/>
      <c r="AO47" s="574"/>
      <c r="AP47" s="574"/>
    </row>
    <row r="48" spans="1:42" ht="15" x14ac:dyDescent="0.25">
      <c r="A48" s="574" t="s">
        <v>1052</v>
      </c>
      <c r="B48" s="574" t="s">
        <v>1087</v>
      </c>
      <c r="C48" s="574" t="s">
        <v>1051</v>
      </c>
      <c r="D48" s="574" t="s">
        <v>707</v>
      </c>
      <c r="E48" s="574" t="s">
        <v>707</v>
      </c>
      <c r="F48" s="574" t="s">
        <v>707</v>
      </c>
      <c r="G48" s="574" t="s">
        <v>707</v>
      </c>
      <c r="H48" s="574" t="s">
        <v>707</v>
      </c>
      <c r="I48" s="574">
        <v>0</v>
      </c>
      <c r="J48" s="574">
        <v>-1</v>
      </c>
      <c r="K48" s="574"/>
      <c r="L48" s="574"/>
      <c r="M48" s="574"/>
      <c r="N48" s="574"/>
      <c r="O48" s="574"/>
      <c r="P48" s="574"/>
      <c r="Q48" s="574"/>
      <c r="R48" s="574"/>
      <c r="S48" s="574"/>
      <c r="T48" s="574"/>
      <c r="U48" s="574"/>
      <c r="V48" s="574"/>
      <c r="W48" s="574"/>
      <c r="X48" s="574"/>
      <c r="Y48" s="574"/>
      <c r="Z48" s="574"/>
      <c r="AA48" s="574"/>
      <c r="AB48" s="574"/>
      <c r="AC48" s="574"/>
      <c r="AD48" s="574"/>
      <c r="AE48" s="574"/>
      <c r="AF48" s="574"/>
      <c r="AG48" s="574"/>
      <c r="AH48" s="574"/>
      <c r="AI48" s="574"/>
      <c r="AJ48" s="574"/>
      <c r="AK48" s="574"/>
      <c r="AL48" s="574"/>
      <c r="AM48" s="574"/>
      <c r="AN48" s="574"/>
      <c r="AO48" s="574"/>
      <c r="AP48" s="574"/>
    </row>
    <row r="49" spans="1:42" ht="15" x14ac:dyDescent="0.25">
      <c r="B49" s="574" t="s">
        <v>1086</v>
      </c>
      <c r="C49" s="574" t="s">
        <v>1067</v>
      </c>
      <c r="D49" s="574" t="s">
        <v>707</v>
      </c>
      <c r="E49" s="574" t="s">
        <v>707</v>
      </c>
      <c r="F49" s="574" t="s">
        <v>707</v>
      </c>
      <c r="G49" s="574" t="s">
        <v>707</v>
      </c>
      <c r="H49" s="574" t="s">
        <v>707</v>
      </c>
      <c r="I49" s="574">
        <v>0</v>
      </c>
      <c r="J49" s="574">
        <v>10</v>
      </c>
      <c r="K49" s="574"/>
      <c r="L49" s="574"/>
      <c r="M49" s="574"/>
      <c r="N49" s="574"/>
      <c r="O49" s="574"/>
      <c r="P49" s="574"/>
      <c r="Q49" s="574"/>
      <c r="R49" s="575">
        <f>'HDRI scenario'!Q8</f>
        <v>10</v>
      </c>
      <c r="U49" s="574"/>
      <c r="X49" s="574"/>
      <c r="Y49" s="574"/>
      <c r="Z49" s="574"/>
      <c r="AA49" s="574"/>
      <c r="AB49" s="575">
        <f>'HDRI scenario'!R8</f>
        <v>13</v>
      </c>
      <c r="AD49" s="574"/>
      <c r="AF49" s="574"/>
      <c r="AG49" s="574"/>
      <c r="AH49" s="574"/>
      <c r="AI49" s="574"/>
      <c r="AJ49" s="574"/>
      <c r="AK49" s="574"/>
      <c r="AL49" s="574"/>
      <c r="AM49" s="574"/>
      <c r="AN49" s="575">
        <f>'HDRI scenario'!S8</f>
        <v>16</v>
      </c>
      <c r="AO49" s="574"/>
      <c r="AP49" s="574"/>
    </row>
    <row r="50" spans="1:42" ht="15" x14ac:dyDescent="0.25">
      <c r="B50" s="574" t="s">
        <v>1086</v>
      </c>
      <c r="C50" s="574" t="s">
        <v>1065</v>
      </c>
      <c r="D50" s="574" t="s">
        <v>707</v>
      </c>
      <c r="E50" s="574" t="s">
        <v>707</v>
      </c>
      <c r="F50" s="574" t="s">
        <v>707</v>
      </c>
      <c r="G50" s="574" t="s">
        <v>707</v>
      </c>
      <c r="H50" s="574" t="s">
        <v>707</v>
      </c>
      <c r="I50" s="574">
        <v>0</v>
      </c>
      <c r="J50" s="574">
        <v>15</v>
      </c>
      <c r="K50" s="574"/>
      <c r="L50" s="574"/>
      <c r="M50" s="574"/>
      <c r="N50" s="574"/>
      <c r="O50" s="574"/>
      <c r="P50" s="574"/>
      <c r="Q50" s="574"/>
      <c r="R50" s="574"/>
      <c r="S50" s="574"/>
      <c r="T50" s="574"/>
      <c r="U50" s="574"/>
      <c r="V50" s="574"/>
      <c r="W50" s="574"/>
      <c r="X50" s="574"/>
      <c r="Y50" s="574"/>
      <c r="Z50" s="574"/>
      <c r="AA50" s="574"/>
      <c r="AB50" s="574"/>
      <c r="AC50" s="574"/>
      <c r="AD50" s="574"/>
      <c r="AE50" s="574"/>
      <c r="AF50" s="574"/>
      <c r="AG50" s="574"/>
      <c r="AH50" s="574"/>
      <c r="AI50" s="574"/>
      <c r="AJ50" s="574"/>
      <c r="AK50" s="574"/>
      <c r="AL50" s="574"/>
      <c r="AM50" s="574"/>
      <c r="AN50" s="574"/>
      <c r="AO50" s="574"/>
      <c r="AP50" s="574"/>
    </row>
    <row r="51" spans="1:42" ht="15" x14ac:dyDescent="0.25">
      <c r="B51" s="574" t="s">
        <v>1086</v>
      </c>
      <c r="C51" s="574" t="s">
        <v>1063</v>
      </c>
      <c r="D51" s="574" t="s">
        <v>707</v>
      </c>
      <c r="E51" s="574" t="s">
        <v>707</v>
      </c>
      <c r="F51" s="574" t="s">
        <v>707</v>
      </c>
      <c r="G51" s="574" t="s">
        <v>707</v>
      </c>
      <c r="H51" s="574" t="s">
        <v>707</v>
      </c>
      <c r="I51" s="574">
        <v>0</v>
      </c>
      <c r="J51" s="574">
        <v>20</v>
      </c>
      <c r="K51" s="574"/>
      <c r="L51" s="574"/>
      <c r="M51" s="574"/>
      <c r="N51" s="574"/>
      <c r="O51" s="574"/>
      <c r="P51" s="574"/>
      <c r="Q51" s="574"/>
      <c r="R51" s="574"/>
      <c r="S51" s="574"/>
      <c r="T51" s="574"/>
      <c r="U51" s="574"/>
      <c r="V51" s="574"/>
      <c r="W51" s="574"/>
      <c r="X51" s="574"/>
      <c r="Y51" s="574"/>
      <c r="Z51" s="574"/>
      <c r="AA51" s="574"/>
      <c r="AB51" s="574"/>
      <c r="AC51" s="574"/>
      <c r="AD51" s="574"/>
      <c r="AE51" s="574"/>
      <c r="AF51" s="574"/>
      <c r="AG51" s="574"/>
      <c r="AH51" s="574"/>
      <c r="AI51" s="574"/>
      <c r="AJ51" s="574"/>
      <c r="AK51" s="574"/>
      <c r="AL51" s="574"/>
      <c r="AM51" s="574"/>
      <c r="AN51" s="574"/>
      <c r="AO51" s="574"/>
      <c r="AP51" s="574"/>
    </row>
    <row r="52" spans="1:42" ht="15" x14ac:dyDescent="0.25">
      <c r="B52" s="574" t="s">
        <v>1086</v>
      </c>
      <c r="C52" s="574" t="s">
        <v>1058</v>
      </c>
      <c r="D52" s="574" t="s">
        <v>707</v>
      </c>
      <c r="E52" s="574" t="s">
        <v>707</v>
      </c>
      <c r="F52" s="574" t="s">
        <v>707</v>
      </c>
      <c r="G52" s="574" t="s">
        <v>707</v>
      </c>
      <c r="H52" s="574" t="s">
        <v>707</v>
      </c>
      <c r="I52" s="574">
        <v>0</v>
      </c>
      <c r="J52" s="574">
        <v>20</v>
      </c>
      <c r="K52" s="574"/>
      <c r="L52" s="574"/>
      <c r="M52" s="574"/>
      <c r="N52" s="574"/>
      <c r="O52" s="574"/>
      <c r="P52" s="574"/>
      <c r="Q52" s="574"/>
      <c r="R52" s="574"/>
      <c r="S52" s="574"/>
      <c r="T52" s="574"/>
      <c r="U52" s="574"/>
      <c r="V52" s="574"/>
      <c r="W52" s="574"/>
      <c r="X52" s="574"/>
      <c r="Y52" s="574"/>
      <c r="Z52" s="574"/>
      <c r="AA52" s="574"/>
      <c r="AB52" s="574"/>
      <c r="AC52" s="574"/>
      <c r="AD52" s="574"/>
      <c r="AE52" s="574"/>
      <c r="AF52" s="574"/>
      <c r="AG52" s="574"/>
      <c r="AH52" s="574"/>
      <c r="AI52" s="574"/>
      <c r="AJ52" s="574"/>
      <c r="AK52" s="574"/>
      <c r="AL52" s="574"/>
      <c r="AM52" s="574"/>
      <c r="AN52" s="574"/>
      <c r="AO52" s="574"/>
      <c r="AP52" s="574"/>
    </row>
    <row r="53" spans="1:42" ht="15" x14ac:dyDescent="0.25">
      <c r="B53" s="574" t="s">
        <v>1086</v>
      </c>
      <c r="C53" s="574" t="s">
        <v>1055</v>
      </c>
      <c r="D53" s="574" t="s">
        <v>707</v>
      </c>
      <c r="E53" s="574" t="s">
        <v>707</v>
      </c>
      <c r="F53" s="574" t="s">
        <v>707</v>
      </c>
      <c r="G53" s="574" t="s">
        <v>707</v>
      </c>
      <c r="H53" s="574" t="s">
        <v>707</v>
      </c>
      <c r="I53" s="574">
        <v>0</v>
      </c>
      <c r="J53" s="574">
        <v>20</v>
      </c>
      <c r="K53" s="574"/>
      <c r="L53" s="574"/>
      <c r="M53" s="574"/>
      <c r="N53" s="574"/>
      <c r="O53" s="574"/>
      <c r="P53" s="574"/>
      <c r="Q53" s="574"/>
      <c r="R53" s="574"/>
      <c r="S53" s="574"/>
      <c r="T53" s="574"/>
      <c r="U53" s="574"/>
      <c r="V53" s="574"/>
      <c r="W53" s="574"/>
      <c r="X53" s="574"/>
      <c r="Y53" s="574"/>
      <c r="Z53" s="574"/>
      <c r="AA53" s="574"/>
      <c r="AB53" s="574"/>
      <c r="AC53" s="574"/>
      <c r="AD53" s="574"/>
      <c r="AE53" s="574"/>
      <c r="AF53" s="574"/>
      <c r="AG53" s="574"/>
      <c r="AH53" s="574"/>
      <c r="AI53" s="574"/>
      <c r="AJ53" s="574"/>
      <c r="AK53" s="574"/>
      <c r="AL53" s="574"/>
      <c r="AM53" s="574"/>
      <c r="AN53" s="574"/>
      <c r="AO53" s="574"/>
      <c r="AP53" s="574"/>
    </row>
    <row r="54" spans="1:42" ht="15" x14ac:dyDescent="0.25">
      <c r="A54" s="574" t="s">
        <v>1052</v>
      </c>
      <c r="B54" s="574" t="s">
        <v>1086</v>
      </c>
      <c r="C54" s="574" t="s">
        <v>1051</v>
      </c>
      <c r="D54" s="574" t="s">
        <v>707</v>
      </c>
      <c r="E54" s="574" t="s">
        <v>707</v>
      </c>
      <c r="F54" s="574" t="s">
        <v>707</v>
      </c>
      <c r="G54" s="574" t="s">
        <v>707</v>
      </c>
      <c r="H54" s="574" t="s">
        <v>707</v>
      </c>
      <c r="I54" s="574">
        <v>0</v>
      </c>
      <c r="J54" s="574">
        <v>25</v>
      </c>
      <c r="K54" s="574"/>
      <c r="L54" s="574"/>
      <c r="M54" s="574"/>
      <c r="N54" s="574"/>
      <c r="O54" s="574"/>
      <c r="P54" s="574"/>
      <c r="Q54" s="574"/>
      <c r="R54" s="574"/>
      <c r="S54" s="574"/>
      <c r="T54" s="574"/>
      <c r="U54" s="574"/>
      <c r="V54" s="574"/>
      <c r="W54" s="574"/>
      <c r="X54" s="574"/>
      <c r="Y54" s="574"/>
      <c r="Z54" s="574"/>
      <c r="AA54" s="574"/>
      <c r="AB54" s="574"/>
      <c r="AC54" s="574"/>
      <c r="AD54" s="574"/>
      <c r="AE54" s="574"/>
      <c r="AF54" s="574"/>
      <c r="AG54" s="574"/>
      <c r="AH54" s="574"/>
      <c r="AI54" s="574"/>
      <c r="AJ54" s="574"/>
      <c r="AK54" s="574"/>
      <c r="AL54" s="574"/>
      <c r="AM54" s="574"/>
      <c r="AN54" s="574"/>
      <c r="AO54" s="574"/>
      <c r="AP54" s="574"/>
    </row>
    <row r="55" spans="1:42" ht="15" x14ac:dyDescent="0.25">
      <c r="B55" s="574" t="s">
        <v>909</v>
      </c>
      <c r="C55" s="574" t="s">
        <v>1063</v>
      </c>
      <c r="D55" s="574" t="s">
        <v>707</v>
      </c>
      <c r="E55" s="574" t="s">
        <v>41</v>
      </c>
      <c r="F55" s="574" t="s">
        <v>707</v>
      </c>
      <c r="G55" s="574" t="s">
        <v>707</v>
      </c>
      <c r="H55" s="574" t="s">
        <v>707</v>
      </c>
      <c r="I55" s="574">
        <v>0</v>
      </c>
      <c r="J55" s="574">
        <v>0</v>
      </c>
      <c r="K55" s="574"/>
      <c r="L55" s="574"/>
      <c r="M55" s="574"/>
      <c r="N55" s="574"/>
      <c r="O55" s="574"/>
      <c r="P55" s="574"/>
      <c r="Q55" s="574"/>
      <c r="R55" s="574"/>
      <c r="S55" s="574"/>
      <c r="T55" s="574"/>
      <c r="U55" s="574"/>
      <c r="V55" s="574"/>
      <c r="W55" s="574"/>
      <c r="X55" s="574"/>
      <c r="Y55" s="574"/>
      <c r="Z55" s="574"/>
      <c r="AA55" s="574"/>
      <c r="AB55" s="574"/>
      <c r="AC55" s="574"/>
      <c r="AD55" s="574"/>
      <c r="AE55" s="574"/>
      <c r="AF55" s="574"/>
      <c r="AG55" s="574"/>
      <c r="AH55" s="574"/>
      <c r="AI55" s="574"/>
      <c r="AJ55" s="574"/>
      <c r="AK55" s="574"/>
      <c r="AL55" s="574"/>
      <c r="AM55" s="574"/>
      <c r="AN55" s="574"/>
      <c r="AO55" s="574"/>
      <c r="AP55" s="574"/>
    </row>
    <row r="56" spans="1:42" ht="15" x14ac:dyDescent="0.25">
      <c r="B56" s="574" t="s">
        <v>909</v>
      </c>
      <c r="C56" s="574" t="s">
        <v>1058</v>
      </c>
      <c r="D56" s="574" t="s">
        <v>707</v>
      </c>
      <c r="E56" s="574" t="s">
        <v>1083</v>
      </c>
      <c r="F56" s="574" t="s">
        <v>707</v>
      </c>
      <c r="G56" s="574" t="s">
        <v>707</v>
      </c>
      <c r="H56" s="574" t="s">
        <v>707</v>
      </c>
      <c r="I56" s="574">
        <v>0</v>
      </c>
      <c r="J56" s="574">
        <v>1.504</v>
      </c>
      <c r="K56" s="574"/>
      <c r="L56" s="574"/>
      <c r="M56" s="574"/>
      <c r="N56" s="574"/>
      <c r="O56" s="574"/>
      <c r="P56" s="574"/>
      <c r="Q56" s="574"/>
      <c r="R56" s="574"/>
      <c r="S56" s="574"/>
      <c r="T56" s="574"/>
      <c r="U56" s="574"/>
      <c r="V56" s="574"/>
      <c r="W56" s="574"/>
      <c r="X56" s="574"/>
      <c r="Y56" s="574"/>
      <c r="Z56" s="574"/>
      <c r="AA56" s="574"/>
      <c r="AB56" s="574"/>
      <c r="AC56" s="574"/>
      <c r="AD56" s="574"/>
      <c r="AE56" s="574"/>
      <c r="AF56" s="574"/>
      <c r="AG56" s="574"/>
      <c r="AH56" s="574"/>
      <c r="AI56" s="574"/>
      <c r="AJ56" s="574"/>
      <c r="AK56" s="574"/>
      <c r="AL56" s="574"/>
      <c r="AM56" s="574"/>
      <c r="AN56" s="574"/>
      <c r="AO56" s="574"/>
      <c r="AP56" s="574"/>
    </row>
    <row r="57" spans="1:42" ht="15" x14ac:dyDescent="0.25">
      <c r="B57" s="574" t="s">
        <v>909</v>
      </c>
      <c r="C57" s="574" t="s">
        <v>1058</v>
      </c>
      <c r="D57" s="574" t="s">
        <v>707</v>
      </c>
      <c r="E57" s="574" t="s">
        <v>1081</v>
      </c>
      <c r="F57" s="574" t="s">
        <v>707</v>
      </c>
      <c r="G57" s="574" t="s">
        <v>707</v>
      </c>
      <c r="H57" s="574" t="s">
        <v>707</v>
      </c>
      <c r="I57" s="574">
        <v>0</v>
      </c>
      <c r="J57" s="574">
        <v>1</v>
      </c>
      <c r="K57" s="574"/>
      <c r="L57" s="574"/>
      <c r="M57" s="574"/>
      <c r="N57" s="574"/>
      <c r="O57" s="574"/>
      <c r="P57" s="574"/>
      <c r="Q57" s="574"/>
      <c r="R57" s="574"/>
      <c r="S57" s="574"/>
      <c r="T57" s="574"/>
      <c r="U57" s="574"/>
      <c r="V57" s="574"/>
      <c r="W57" s="574"/>
      <c r="X57" s="574"/>
      <c r="Y57" s="574"/>
      <c r="Z57" s="574"/>
      <c r="AA57" s="574"/>
      <c r="AB57" s="574"/>
      <c r="AC57" s="574"/>
      <c r="AD57" s="574"/>
      <c r="AE57" s="574"/>
      <c r="AF57" s="574"/>
      <c r="AG57" s="574"/>
      <c r="AH57" s="574"/>
      <c r="AI57" s="574"/>
      <c r="AJ57" s="574"/>
      <c r="AK57" s="574"/>
      <c r="AL57" s="574"/>
      <c r="AM57" s="574"/>
      <c r="AN57" s="574"/>
      <c r="AO57" s="574"/>
      <c r="AP57" s="574"/>
    </row>
    <row r="58" spans="1:42" ht="15" x14ac:dyDescent="0.25">
      <c r="B58" s="574" t="s">
        <v>909</v>
      </c>
      <c r="C58" s="574" t="s">
        <v>1058</v>
      </c>
      <c r="D58" s="574" t="s">
        <v>707</v>
      </c>
      <c r="E58" s="574" t="s">
        <v>1072</v>
      </c>
      <c r="F58" s="574" t="s">
        <v>707</v>
      </c>
      <c r="G58" s="574" t="s">
        <v>707</v>
      </c>
      <c r="H58" s="574" t="s">
        <v>707</v>
      </c>
      <c r="I58" s="574">
        <v>0</v>
      </c>
      <c r="J58" s="574">
        <v>6.12</v>
      </c>
      <c r="K58" s="574"/>
      <c r="L58" s="574"/>
      <c r="M58" s="574"/>
      <c r="N58" s="574"/>
      <c r="O58" s="574"/>
      <c r="P58" s="574"/>
      <c r="Q58" s="574"/>
      <c r="R58" s="574"/>
      <c r="S58" s="574"/>
      <c r="T58" s="574"/>
      <c r="U58" s="574"/>
      <c r="V58" s="574"/>
      <c r="W58" s="574"/>
      <c r="X58" s="574"/>
      <c r="Y58" s="574"/>
      <c r="Z58" s="574"/>
      <c r="AA58" s="574"/>
      <c r="AB58" s="574"/>
      <c r="AC58" s="574"/>
      <c r="AD58" s="574"/>
      <c r="AE58" s="574"/>
      <c r="AF58" s="574"/>
      <c r="AG58" s="574"/>
      <c r="AH58" s="574"/>
      <c r="AI58" s="574"/>
      <c r="AJ58" s="574"/>
      <c r="AK58" s="574"/>
      <c r="AL58" s="574"/>
      <c r="AM58" s="574"/>
      <c r="AN58" s="574"/>
      <c r="AO58" s="574"/>
      <c r="AP58" s="574"/>
    </row>
    <row r="59" spans="1:42" ht="15" x14ac:dyDescent="0.25">
      <c r="B59" s="574" t="s">
        <v>1085</v>
      </c>
      <c r="C59" s="574" t="s">
        <v>1065</v>
      </c>
      <c r="D59" s="574" t="s">
        <v>707</v>
      </c>
      <c r="E59" s="574" t="s">
        <v>707</v>
      </c>
      <c r="F59" s="574" t="s">
        <v>707</v>
      </c>
      <c r="G59" s="574" t="s">
        <v>707</v>
      </c>
      <c r="H59" s="574" t="s">
        <v>707</v>
      </c>
      <c r="I59" s="574">
        <v>0</v>
      </c>
      <c r="J59" s="574">
        <v>0.89</v>
      </c>
      <c r="K59" s="574"/>
      <c r="L59" s="574"/>
      <c r="M59" s="574"/>
      <c r="N59" s="574"/>
      <c r="O59" s="574"/>
      <c r="P59" s="574"/>
      <c r="Q59" s="574"/>
      <c r="R59" s="574"/>
      <c r="S59" s="574"/>
      <c r="T59" s="574"/>
      <c r="U59" s="574"/>
      <c r="V59" s="574"/>
      <c r="W59" s="574"/>
      <c r="X59" s="574"/>
      <c r="Y59" s="574"/>
      <c r="Z59" s="574"/>
      <c r="AA59" s="574"/>
      <c r="AB59" s="574"/>
      <c r="AC59" s="574"/>
      <c r="AD59" s="574"/>
      <c r="AE59" s="574"/>
      <c r="AF59" s="574"/>
      <c r="AG59" s="574"/>
      <c r="AH59" s="574"/>
      <c r="AI59" s="574"/>
      <c r="AJ59" s="574"/>
      <c r="AK59" s="574"/>
      <c r="AL59" s="574"/>
      <c r="AM59" s="574"/>
      <c r="AN59" s="574"/>
      <c r="AO59" s="574"/>
      <c r="AP59" s="574"/>
    </row>
    <row r="60" spans="1:42" ht="15" x14ac:dyDescent="0.25">
      <c r="B60" s="574" t="s">
        <v>1085</v>
      </c>
      <c r="C60" s="574" t="s">
        <v>1055</v>
      </c>
      <c r="D60" s="574" t="s">
        <v>707</v>
      </c>
      <c r="E60" s="574" t="s">
        <v>707</v>
      </c>
      <c r="F60" s="574" t="s">
        <v>707</v>
      </c>
      <c r="G60" s="574" t="s">
        <v>707</v>
      </c>
      <c r="H60" s="574" t="s">
        <v>707</v>
      </c>
      <c r="I60" s="574">
        <v>0</v>
      </c>
      <c r="J60" s="574">
        <v>0.99</v>
      </c>
      <c r="K60" s="574"/>
      <c r="L60" s="574"/>
      <c r="M60" s="574"/>
      <c r="N60" s="574"/>
      <c r="O60" s="574"/>
      <c r="P60" s="574"/>
      <c r="Q60" s="574"/>
      <c r="R60" s="574"/>
      <c r="S60" s="574"/>
      <c r="T60" s="574"/>
      <c r="U60" s="574"/>
      <c r="V60" s="574"/>
      <c r="W60" s="574"/>
      <c r="X60" s="574"/>
      <c r="Y60" s="574"/>
      <c r="Z60" s="574"/>
      <c r="AA60" s="574"/>
      <c r="AB60" s="574"/>
      <c r="AC60" s="574"/>
      <c r="AD60" s="574"/>
      <c r="AE60" s="574"/>
      <c r="AF60" s="574"/>
      <c r="AG60" s="574"/>
      <c r="AH60" s="574"/>
      <c r="AI60" s="574"/>
      <c r="AJ60" s="574"/>
      <c r="AK60" s="574"/>
      <c r="AL60" s="574"/>
      <c r="AM60" s="574"/>
      <c r="AN60" s="574"/>
      <c r="AO60" s="574"/>
      <c r="AP60" s="574"/>
    </row>
    <row r="61" spans="1:42" ht="15" x14ac:dyDescent="0.25">
      <c r="B61" t="s">
        <v>926</v>
      </c>
      <c r="C61" t="s">
        <v>1546</v>
      </c>
      <c r="D61" t="s">
        <v>707</v>
      </c>
      <c r="E61" t="s">
        <v>1090</v>
      </c>
      <c r="F61" t="s">
        <v>707</v>
      </c>
      <c r="G61" t="s">
        <v>1101</v>
      </c>
      <c r="H61" t="s">
        <v>707</v>
      </c>
      <c r="I61">
        <v>0</v>
      </c>
      <c r="J61">
        <v>1</v>
      </c>
    </row>
    <row r="62" spans="1:42" ht="15" x14ac:dyDescent="0.25">
      <c r="C62" s="574"/>
    </row>
  </sheetData>
  <autoFilter ref="A1:J60" xr:uid="{1A3D971A-3AB5-43BD-9E42-F007147A85A5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9863B-D2E9-43ED-BFFC-D5AE7E4A18D8}">
  <sheetPr>
    <tabColor theme="3" tint="0.39997558519241921"/>
  </sheetPr>
  <dimension ref="A1:I66"/>
  <sheetViews>
    <sheetView workbookViewId="0">
      <selection activeCell="N57" sqref="N57"/>
    </sheetView>
  </sheetViews>
  <sheetFormatPr defaultRowHeight="12.75" x14ac:dyDescent="0.2"/>
  <cols>
    <col min="1" max="1" width="9.140625" style="555"/>
    <col min="2" max="2" width="16.42578125" style="555" customWidth="1"/>
    <col min="3" max="3" width="27" style="555" customWidth="1"/>
    <col min="4" max="4" width="9.42578125" style="555" bestFit="1" customWidth="1"/>
    <col min="5" max="5" width="19.140625" style="555" bestFit="1" customWidth="1"/>
    <col min="6" max="16384" width="9.140625" style="555"/>
  </cols>
  <sheetData>
    <row r="1" spans="1:9" ht="15" x14ac:dyDescent="0.25">
      <c r="A1" s="574" t="s">
        <v>1516</v>
      </c>
      <c r="B1" s="574" t="s">
        <v>1084</v>
      </c>
      <c r="C1" s="574"/>
      <c r="D1" s="574"/>
      <c r="E1" s="574"/>
      <c r="F1" s="574"/>
      <c r="G1" s="574"/>
      <c r="H1" s="574"/>
      <c r="I1" s="574"/>
    </row>
    <row r="2" spans="1:9" ht="15" x14ac:dyDescent="0.25">
      <c r="A2" s="574"/>
      <c r="B2" s="574" t="s">
        <v>1111</v>
      </c>
      <c r="C2" s="574" t="s">
        <v>707</v>
      </c>
      <c r="D2" s="574" t="s">
        <v>1081</v>
      </c>
      <c r="E2" s="574" t="s">
        <v>1039</v>
      </c>
      <c r="F2" s="574" t="s">
        <v>707</v>
      </c>
      <c r="G2" s="574" t="s">
        <v>707</v>
      </c>
      <c r="H2" s="574" t="s">
        <v>707</v>
      </c>
      <c r="I2" s="574">
        <v>1</v>
      </c>
    </row>
    <row r="3" spans="1:9" ht="15" x14ac:dyDescent="0.25">
      <c r="A3" s="574"/>
      <c r="B3" s="574" t="s">
        <v>1111</v>
      </c>
      <c r="C3" s="574" t="s">
        <v>707</v>
      </c>
      <c r="D3" s="574" t="s">
        <v>1081</v>
      </c>
      <c r="E3" s="574" t="s">
        <v>1115</v>
      </c>
      <c r="F3" s="574" t="s">
        <v>707</v>
      </c>
      <c r="G3" s="574" t="s">
        <v>707</v>
      </c>
      <c r="H3" s="574" t="s">
        <v>707</v>
      </c>
      <c r="I3" s="574">
        <v>1</v>
      </c>
    </row>
    <row r="4" spans="1:9" ht="15" x14ac:dyDescent="0.25">
      <c r="A4" s="574"/>
      <c r="B4" s="574" t="s">
        <v>1111</v>
      </c>
      <c r="C4" s="574" t="s">
        <v>707</v>
      </c>
      <c r="D4" s="574" t="s">
        <v>1079</v>
      </c>
      <c r="E4" s="574" t="s">
        <v>1036</v>
      </c>
      <c r="F4" s="574" t="s">
        <v>707</v>
      </c>
      <c r="G4" s="574" t="s">
        <v>707</v>
      </c>
      <c r="H4" s="574" t="s">
        <v>707</v>
      </c>
      <c r="I4" s="574">
        <v>1</v>
      </c>
    </row>
    <row r="5" spans="1:9" ht="15" x14ac:dyDescent="0.25">
      <c r="A5" s="574"/>
      <c r="B5" s="574" t="s">
        <v>1111</v>
      </c>
      <c r="C5" s="574" t="s">
        <v>707</v>
      </c>
      <c r="D5" s="574" t="s">
        <v>1076</v>
      </c>
      <c r="E5" s="574" t="s">
        <v>1039</v>
      </c>
      <c r="F5" s="574" t="s">
        <v>707</v>
      </c>
      <c r="G5" s="574" t="s">
        <v>707</v>
      </c>
      <c r="H5" s="574" t="s">
        <v>707</v>
      </c>
      <c r="I5" s="574">
        <v>1</v>
      </c>
    </row>
    <row r="6" spans="1:9" ht="15" x14ac:dyDescent="0.25">
      <c r="A6" s="574"/>
      <c r="B6" s="574" t="s">
        <v>1111</v>
      </c>
      <c r="C6" s="574" t="s">
        <v>707</v>
      </c>
      <c r="D6" s="574" t="s">
        <v>1076</v>
      </c>
      <c r="E6" s="574" t="s">
        <v>1113</v>
      </c>
      <c r="F6" s="574" t="s">
        <v>707</v>
      </c>
      <c r="G6" s="574" t="s">
        <v>707</v>
      </c>
      <c r="H6" s="574" t="s">
        <v>707</v>
      </c>
      <c r="I6" s="574">
        <v>1</v>
      </c>
    </row>
    <row r="7" spans="1:9" ht="15" x14ac:dyDescent="0.25">
      <c r="A7" s="574"/>
      <c r="B7" s="574" t="s">
        <v>1111</v>
      </c>
      <c r="C7" s="574" t="s">
        <v>707</v>
      </c>
      <c r="D7" s="574" t="s">
        <v>1076</v>
      </c>
      <c r="E7" s="574" t="s">
        <v>1114</v>
      </c>
      <c r="F7" s="574" t="s">
        <v>707</v>
      </c>
      <c r="G7" s="574" t="s">
        <v>707</v>
      </c>
      <c r="H7" s="574" t="s">
        <v>707</v>
      </c>
      <c r="I7" s="574">
        <v>1</v>
      </c>
    </row>
    <row r="8" spans="1:9" ht="15" x14ac:dyDescent="0.25">
      <c r="A8" s="574"/>
      <c r="B8" s="574" t="s">
        <v>1111</v>
      </c>
      <c r="C8" s="574" t="s">
        <v>707</v>
      </c>
      <c r="D8" s="574" t="s">
        <v>1072</v>
      </c>
      <c r="E8" s="574" t="s">
        <v>1113</v>
      </c>
      <c r="F8" s="574" t="s">
        <v>707</v>
      </c>
      <c r="G8" s="574" t="s">
        <v>707</v>
      </c>
      <c r="H8" s="574" t="s">
        <v>707</v>
      </c>
      <c r="I8" s="574">
        <v>1</v>
      </c>
    </row>
    <row r="9" spans="1:9" ht="15" x14ac:dyDescent="0.25">
      <c r="A9" s="574"/>
      <c r="B9" s="574" t="s">
        <v>1111</v>
      </c>
      <c r="C9" s="574" t="s">
        <v>707</v>
      </c>
      <c r="D9" s="574" t="s">
        <v>1072</v>
      </c>
      <c r="E9" s="574" t="s">
        <v>1112</v>
      </c>
      <c r="F9" s="574" t="s">
        <v>707</v>
      </c>
      <c r="G9" s="574" t="s">
        <v>707</v>
      </c>
      <c r="H9" s="574" t="s">
        <v>707</v>
      </c>
      <c r="I9" s="574">
        <v>1</v>
      </c>
    </row>
    <row r="10" spans="1:9" ht="15" x14ac:dyDescent="0.25">
      <c r="A10" s="574"/>
      <c r="B10" s="574" t="s">
        <v>1111</v>
      </c>
      <c r="C10" s="574" t="s">
        <v>707</v>
      </c>
      <c r="D10" s="574" t="s">
        <v>1072</v>
      </c>
      <c r="E10" s="574" t="s">
        <v>1110</v>
      </c>
      <c r="F10" s="574" t="s">
        <v>707</v>
      </c>
      <c r="G10" s="574" t="s">
        <v>707</v>
      </c>
      <c r="H10" s="574" t="s">
        <v>707</v>
      </c>
      <c r="I10" s="574">
        <v>1</v>
      </c>
    </row>
    <row r="11" spans="1:9" ht="15" x14ac:dyDescent="0.25">
      <c r="A11" s="574"/>
      <c r="B11" s="574" t="s">
        <v>1109</v>
      </c>
      <c r="C11" s="574" t="s">
        <v>1069</v>
      </c>
      <c r="D11" s="574" t="s">
        <v>707</v>
      </c>
      <c r="E11" s="574" t="s">
        <v>707</v>
      </c>
      <c r="F11" s="574" t="s">
        <v>707</v>
      </c>
      <c r="G11" s="574" t="s">
        <v>707</v>
      </c>
      <c r="H11" s="574" t="s">
        <v>707</v>
      </c>
      <c r="I11" s="574">
        <v>2020</v>
      </c>
    </row>
    <row r="12" spans="1:9" ht="15" x14ac:dyDescent="0.25">
      <c r="A12" s="574"/>
      <c r="B12" s="574" t="s">
        <v>1109</v>
      </c>
      <c r="C12" s="574" t="s">
        <v>1067</v>
      </c>
      <c r="D12" s="574" t="s">
        <v>707</v>
      </c>
      <c r="E12" s="574" t="s">
        <v>707</v>
      </c>
      <c r="F12" s="574" t="s">
        <v>707</v>
      </c>
      <c r="G12" s="574" t="s">
        <v>707</v>
      </c>
      <c r="H12" s="574" t="s">
        <v>707</v>
      </c>
      <c r="I12" s="575">
        <f>'HDRI scenario'!B9</f>
        <v>2028</v>
      </c>
    </row>
    <row r="13" spans="1:9" ht="15" x14ac:dyDescent="0.25">
      <c r="A13" s="574"/>
      <c r="B13" s="574" t="s">
        <v>1109</v>
      </c>
      <c r="C13" s="574" t="s">
        <v>1065</v>
      </c>
      <c r="D13" s="574" t="s">
        <v>707</v>
      </c>
      <c r="E13" s="574" t="s">
        <v>707</v>
      </c>
      <c r="F13" s="574" t="s">
        <v>707</v>
      </c>
      <c r="G13" s="574" t="s">
        <v>707</v>
      </c>
      <c r="H13" s="574" t="s">
        <v>707</v>
      </c>
      <c r="I13" s="574">
        <v>2020</v>
      </c>
    </row>
    <row r="14" spans="1:9" ht="15" x14ac:dyDescent="0.25">
      <c r="A14" s="574"/>
      <c r="B14" s="574" t="s">
        <v>1109</v>
      </c>
      <c r="C14" s="574" t="s">
        <v>1063</v>
      </c>
      <c r="D14" s="574" t="s">
        <v>707</v>
      </c>
      <c r="E14" s="574" t="s">
        <v>707</v>
      </c>
      <c r="F14" s="574" t="s">
        <v>707</v>
      </c>
      <c r="G14" s="574" t="s">
        <v>707</v>
      </c>
      <c r="H14" s="574" t="s">
        <v>707</v>
      </c>
      <c r="I14" s="574">
        <v>2020</v>
      </c>
    </row>
    <row r="15" spans="1:9" ht="15" x14ac:dyDescent="0.25">
      <c r="A15" s="574"/>
      <c r="B15" s="574" t="s">
        <v>1109</v>
      </c>
      <c r="C15" s="574" t="s">
        <v>1058</v>
      </c>
      <c r="D15" s="574" t="s">
        <v>707</v>
      </c>
      <c r="E15" s="574" t="s">
        <v>707</v>
      </c>
      <c r="F15" s="574" t="s">
        <v>707</v>
      </c>
      <c r="G15" s="574" t="s">
        <v>707</v>
      </c>
      <c r="H15" s="574" t="s">
        <v>707</v>
      </c>
      <c r="I15" s="574">
        <v>2020</v>
      </c>
    </row>
    <row r="16" spans="1:9" ht="15" x14ac:dyDescent="0.25">
      <c r="A16" s="574"/>
      <c r="B16" s="574" t="s">
        <v>1109</v>
      </c>
      <c r="C16" s="574" t="s">
        <v>1055</v>
      </c>
      <c r="D16" s="574" t="s">
        <v>707</v>
      </c>
      <c r="E16" s="574" t="s">
        <v>707</v>
      </c>
      <c r="F16" s="574" t="s">
        <v>707</v>
      </c>
      <c r="G16" s="574" t="s">
        <v>707</v>
      </c>
      <c r="H16" s="574" t="s">
        <v>707</v>
      </c>
      <c r="I16" s="574">
        <v>2020</v>
      </c>
    </row>
    <row r="17" spans="1:9" ht="15" x14ac:dyDescent="0.25">
      <c r="A17" s="572" t="s">
        <v>1052</v>
      </c>
      <c r="B17" s="574" t="s">
        <v>1109</v>
      </c>
      <c r="C17" s="574" t="s">
        <v>1051</v>
      </c>
      <c r="D17" s="574" t="s">
        <v>707</v>
      </c>
      <c r="E17" s="574" t="s">
        <v>707</v>
      </c>
      <c r="F17" s="574" t="s">
        <v>707</v>
      </c>
      <c r="G17" s="574" t="s">
        <v>707</v>
      </c>
      <c r="H17" s="574" t="s">
        <v>707</v>
      </c>
      <c r="I17" s="574">
        <v>2020</v>
      </c>
    </row>
    <row r="18" spans="1:9" ht="15" x14ac:dyDescent="0.25">
      <c r="B18" s="574" t="s">
        <v>1109</v>
      </c>
      <c r="C18" s="574" t="s">
        <v>1043</v>
      </c>
      <c r="D18" s="574" t="s">
        <v>707</v>
      </c>
      <c r="E18" s="574" t="s">
        <v>707</v>
      </c>
      <c r="F18" s="574" t="s">
        <v>707</v>
      </c>
      <c r="G18" s="574" t="s">
        <v>707</v>
      </c>
      <c r="H18" s="574" t="s">
        <v>707</v>
      </c>
      <c r="I18" s="574">
        <v>2020</v>
      </c>
    </row>
    <row r="19" spans="1:9" ht="15" x14ac:dyDescent="0.25">
      <c r="B19" s="574" t="s">
        <v>1108</v>
      </c>
      <c r="C19" s="574" t="s">
        <v>1069</v>
      </c>
      <c r="D19" s="574" t="s">
        <v>707</v>
      </c>
      <c r="E19" s="574" t="s">
        <v>42</v>
      </c>
      <c r="F19" s="574" t="s">
        <v>707</v>
      </c>
      <c r="G19" s="574" t="s">
        <v>707</v>
      </c>
      <c r="H19" s="574" t="s">
        <v>707</v>
      </c>
      <c r="I19" s="574">
        <v>1</v>
      </c>
    </row>
    <row r="20" spans="1:9" ht="15" x14ac:dyDescent="0.25">
      <c r="B20" s="574" t="s">
        <v>1108</v>
      </c>
      <c r="C20" s="574" t="s">
        <v>1067</v>
      </c>
      <c r="D20" s="574" t="s">
        <v>707</v>
      </c>
      <c r="E20" s="574" t="s">
        <v>1076</v>
      </c>
      <c r="F20" s="574" t="s">
        <v>707</v>
      </c>
      <c r="G20" s="574" t="s">
        <v>707</v>
      </c>
      <c r="H20" s="574" t="s">
        <v>707</v>
      </c>
      <c r="I20" s="574">
        <v>1</v>
      </c>
    </row>
    <row r="21" spans="1:9" ht="15" x14ac:dyDescent="0.25">
      <c r="B21" s="574" t="s">
        <v>1108</v>
      </c>
      <c r="C21" s="574" t="s">
        <v>1065</v>
      </c>
      <c r="D21" s="574" t="s">
        <v>707</v>
      </c>
      <c r="E21" s="574" t="s">
        <v>1076</v>
      </c>
      <c r="F21" s="574" t="s">
        <v>707</v>
      </c>
      <c r="G21" s="574" t="s">
        <v>707</v>
      </c>
      <c r="H21" s="574" t="s">
        <v>707</v>
      </c>
      <c r="I21" s="574">
        <v>1</v>
      </c>
    </row>
    <row r="22" spans="1:9" ht="15" x14ac:dyDescent="0.25">
      <c r="B22" s="574" t="s">
        <v>1108</v>
      </c>
      <c r="C22" s="574" t="s">
        <v>1063</v>
      </c>
      <c r="D22" s="574" t="s">
        <v>707</v>
      </c>
      <c r="E22" s="574" t="s">
        <v>1079</v>
      </c>
      <c r="F22" s="574" t="s">
        <v>707</v>
      </c>
      <c r="G22" s="574" t="s">
        <v>707</v>
      </c>
      <c r="H22" s="574" t="s">
        <v>707</v>
      </c>
      <c r="I22" s="574">
        <v>1</v>
      </c>
    </row>
    <row r="23" spans="1:9" ht="15" x14ac:dyDescent="0.25">
      <c r="B23" s="574" t="s">
        <v>1108</v>
      </c>
      <c r="C23" s="574" t="s">
        <v>1061</v>
      </c>
      <c r="D23" s="574" t="s">
        <v>707</v>
      </c>
      <c r="E23" s="574" t="s">
        <v>1081</v>
      </c>
      <c r="F23" s="574" t="s">
        <v>707</v>
      </c>
      <c r="G23" s="574" t="s">
        <v>707</v>
      </c>
      <c r="H23" s="574" t="s">
        <v>707</v>
      </c>
      <c r="I23" s="574">
        <v>1</v>
      </c>
    </row>
    <row r="24" spans="1:9" ht="15" x14ac:dyDescent="0.25">
      <c r="B24" s="574" t="s">
        <v>1108</v>
      </c>
      <c r="C24" s="574" t="s">
        <v>1058</v>
      </c>
      <c r="D24" s="574" t="s">
        <v>707</v>
      </c>
      <c r="E24" s="574" t="s">
        <v>1081</v>
      </c>
      <c r="F24" s="574" t="s">
        <v>707</v>
      </c>
      <c r="G24" s="574" t="s">
        <v>707</v>
      </c>
      <c r="H24" s="574" t="s">
        <v>707</v>
      </c>
      <c r="I24" s="574">
        <v>1</v>
      </c>
    </row>
    <row r="25" spans="1:9" ht="15" x14ac:dyDescent="0.25">
      <c r="B25" s="574" t="s">
        <v>1108</v>
      </c>
      <c r="C25" s="574" t="s">
        <v>1055</v>
      </c>
      <c r="D25" s="574" t="s">
        <v>707</v>
      </c>
      <c r="E25" s="574" t="s">
        <v>1072</v>
      </c>
      <c r="F25" s="574" t="s">
        <v>707</v>
      </c>
      <c r="G25" s="574" t="s">
        <v>707</v>
      </c>
      <c r="H25" s="574" t="s">
        <v>707</v>
      </c>
      <c r="I25" s="574">
        <v>1</v>
      </c>
    </row>
    <row r="26" spans="1:9" ht="15" x14ac:dyDescent="0.25">
      <c r="A26" s="572" t="s">
        <v>1052</v>
      </c>
      <c r="B26" s="574" t="s">
        <v>1108</v>
      </c>
      <c r="C26" s="574" t="s">
        <v>1051</v>
      </c>
      <c r="D26" s="574" t="s">
        <v>707</v>
      </c>
      <c r="E26" s="574" t="s">
        <v>1076</v>
      </c>
      <c r="F26" s="574" t="s">
        <v>707</v>
      </c>
      <c r="G26" s="574" t="s">
        <v>707</v>
      </c>
      <c r="H26" s="574" t="s">
        <v>707</v>
      </c>
      <c r="I26" s="574">
        <v>1</v>
      </c>
    </row>
    <row r="27" spans="1:9" ht="15" x14ac:dyDescent="0.25">
      <c r="B27" s="574" t="s">
        <v>1108</v>
      </c>
      <c r="C27" s="574" t="s">
        <v>1047</v>
      </c>
      <c r="D27" s="574" t="s">
        <v>707</v>
      </c>
      <c r="E27" s="574" t="s">
        <v>1083</v>
      </c>
      <c r="F27" s="574" t="s">
        <v>707</v>
      </c>
      <c r="G27" s="574" t="s">
        <v>707</v>
      </c>
      <c r="H27" s="574" t="s">
        <v>707</v>
      </c>
      <c r="I27" s="574">
        <v>1</v>
      </c>
    </row>
    <row r="28" spans="1:9" ht="15" x14ac:dyDescent="0.25">
      <c r="B28" s="574" t="s">
        <v>1108</v>
      </c>
      <c r="C28" s="574" t="s">
        <v>1043</v>
      </c>
      <c r="D28" s="574" t="s">
        <v>707</v>
      </c>
      <c r="E28" s="574" t="s">
        <v>1076</v>
      </c>
      <c r="F28" s="574" t="s">
        <v>707</v>
      </c>
      <c r="G28" s="574" t="s">
        <v>707</v>
      </c>
      <c r="H28" s="574" t="s">
        <v>707</v>
      </c>
      <c r="I28" s="574">
        <v>1</v>
      </c>
    </row>
    <row r="29" spans="1:9" ht="15" x14ac:dyDescent="0.25">
      <c r="B29" s="574" t="s">
        <v>1107</v>
      </c>
      <c r="C29" s="574" t="s">
        <v>1069</v>
      </c>
      <c r="D29" s="574" t="s">
        <v>707</v>
      </c>
      <c r="E29" s="574" t="s">
        <v>707</v>
      </c>
      <c r="F29" s="574" t="s">
        <v>707</v>
      </c>
      <c r="G29" s="574" t="s">
        <v>707</v>
      </c>
      <c r="H29" s="574" t="s">
        <v>707</v>
      </c>
      <c r="I29" s="574">
        <v>1</v>
      </c>
    </row>
    <row r="30" spans="1:9" ht="15" x14ac:dyDescent="0.25">
      <c r="B30" s="574" t="s">
        <v>1107</v>
      </c>
      <c r="C30" s="574" t="s">
        <v>1067</v>
      </c>
      <c r="D30" s="574" t="s">
        <v>707</v>
      </c>
      <c r="E30" s="574" t="s">
        <v>707</v>
      </c>
      <c r="F30" s="574" t="s">
        <v>707</v>
      </c>
      <c r="G30" s="574" t="s">
        <v>707</v>
      </c>
      <c r="H30" s="574" t="s">
        <v>707</v>
      </c>
      <c r="I30" s="574">
        <v>31.536000000000001</v>
      </c>
    </row>
    <row r="31" spans="1:9" ht="15" x14ac:dyDescent="0.25">
      <c r="B31" s="574" t="s">
        <v>1107</v>
      </c>
      <c r="C31" s="574" t="s">
        <v>1065</v>
      </c>
      <c r="D31" s="574" t="s">
        <v>707</v>
      </c>
      <c r="E31" s="574" t="s">
        <v>707</v>
      </c>
      <c r="F31" s="574" t="s">
        <v>707</v>
      </c>
      <c r="G31" s="574" t="s">
        <v>707</v>
      </c>
      <c r="H31" s="574" t="s">
        <v>707</v>
      </c>
      <c r="I31" s="574">
        <v>31.536000000000001</v>
      </c>
    </row>
    <row r="32" spans="1:9" ht="15" x14ac:dyDescent="0.25">
      <c r="B32" s="574" t="s">
        <v>1107</v>
      </c>
      <c r="C32" s="574" t="s">
        <v>1063</v>
      </c>
      <c r="D32" s="574" t="s">
        <v>707</v>
      </c>
      <c r="E32" s="574" t="s">
        <v>707</v>
      </c>
      <c r="F32" s="574" t="s">
        <v>707</v>
      </c>
      <c r="G32" s="574" t="s">
        <v>707</v>
      </c>
      <c r="H32" s="574" t="s">
        <v>707</v>
      </c>
      <c r="I32" s="574">
        <v>1</v>
      </c>
    </row>
    <row r="33" spans="1:9" ht="15" x14ac:dyDescent="0.25">
      <c r="B33" s="574" t="s">
        <v>1107</v>
      </c>
      <c r="C33" s="574" t="s">
        <v>1061</v>
      </c>
      <c r="D33" s="574" t="s">
        <v>707</v>
      </c>
      <c r="E33" s="574" t="s">
        <v>707</v>
      </c>
      <c r="F33" s="574" t="s">
        <v>707</v>
      </c>
      <c r="G33" s="574" t="s">
        <v>707</v>
      </c>
      <c r="H33" s="574" t="s">
        <v>707</v>
      </c>
      <c r="I33" s="574">
        <v>1</v>
      </c>
    </row>
    <row r="34" spans="1:9" ht="15" x14ac:dyDescent="0.25">
      <c r="B34" s="574" t="s">
        <v>1107</v>
      </c>
      <c r="C34" s="574" t="s">
        <v>1058</v>
      </c>
      <c r="D34" s="574" t="s">
        <v>707</v>
      </c>
      <c r="E34" s="574" t="s">
        <v>707</v>
      </c>
      <c r="F34" s="574" t="s">
        <v>707</v>
      </c>
      <c r="G34" s="574" t="s">
        <v>707</v>
      </c>
      <c r="H34" s="574" t="s">
        <v>707</v>
      </c>
      <c r="I34" s="574">
        <v>1</v>
      </c>
    </row>
    <row r="35" spans="1:9" ht="15" x14ac:dyDescent="0.25">
      <c r="B35" s="574" t="s">
        <v>1107</v>
      </c>
      <c r="C35" s="574" t="s">
        <v>1055</v>
      </c>
      <c r="D35" s="574" t="s">
        <v>707</v>
      </c>
      <c r="E35" s="574" t="s">
        <v>707</v>
      </c>
      <c r="F35" s="574" t="s">
        <v>707</v>
      </c>
      <c r="G35" s="574" t="s">
        <v>707</v>
      </c>
      <c r="H35" s="574" t="s">
        <v>707</v>
      </c>
      <c r="I35" s="574">
        <v>1</v>
      </c>
    </row>
    <row r="36" spans="1:9" ht="15" x14ac:dyDescent="0.25">
      <c r="A36" s="572" t="s">
        <v>1052</v>
      </c>
      <c r="B36" s="574" t="s">
        <v>1107</v>
      </c>
      <c r="C36" s="574" t="s">
        <v>1051</v>
      </c>
      <c r="D36" s="574" t="s">
        <v>707</v>
      </c>
      <c r="E36" s="574" t="s">
        <v>707</v>
      </c>
      <c r="F36" s="574" t="s">
        <v>707</v>
      </c>
      <c r="G36" s="574" t="s">
        <v>707</v>
      </c>
      <c r="H36" s="574" t="s">
        <v>707</v>
      </c>
      <c r="I36" s="574">
        <v>31.536000000000001</v>
      </c>
    </row>
    <row r="37" spans="1:9" ht="15" x14ac:dyDescent="0.25">
      <c r="B37" s="574" t="s">
        <v>1107</v>
      </c>
      <c r="C37" s="574" t="s">
        <v>1047</v>
      </c>
      <c r="D37" s="574" t="s">
        <v>707</v>
      </c>
      <c r="E37" s="574" t="s">
        <v>707</v>
      </c>
      <c r="F37" s="574" t="s">
        <v>707</v>
      </c>
      <c r="G37" s="574" t="s">
        <v>707</v>
      </c>
      <c r="H37" s="574" t="s">
        <v>707</v>
      </c>
      <c r="I37" s="574">
        <v>1</v>
      </c>
    </row>
    <row r="38" spans="1:9" ht="15" x14ac:dyDescent="0.25">
      <c r="B38" s="574" t="s">
        <v>1107</v>
      </c>
      <c r="C38" s="574" t="s">
        <v>1043</v>
      </c>
      <c r="D38" s="574" t="s">
        <v>707</v>
      </c>
      <c r="E38" s="574" t="s">
        <v>707</v>
      </c>
      <c r="F38" s="574" t="s">
        <v>707</v>
      </c>
      <c r="G38" s="574" t="s">
        <v>707</v>
      </c>
      <c r="H38" s="574" t="s">
        <v>707</v>
      </c>
      <c r="I38" s="574">
        <v>1</v>
      </c>
    </row>
    <row r="39" spans="1:9" ht="15" x14ac:dyDescent="0.25">
      <c r="B39" s="574" t="s">
        <v>1106</v>
      </c>
      <c r="C39" s="574" t="s">
        <v>1067</v>
      </c>
      <c r="D39" s="574" t="s">
        <v>707</v>
      </c>
      <c r="E39" s="574" t="s">
        <v>707</v>
      </c>
      <c r="F39" s="574" t="s">
        <v>707</v>
      </c>
      <c r="G39" s="574" t="s">
        <v>707</v>
      </c>
      <c r="H39" s="574" t="s">
        <v>707</v>
      </c>
      <c r="I39" s="574">
        <v>1</v>
      </c>
    </row>
    <row r="40" spans="1:9" ht="15" x14ac:dyDescent="0.25">
      <c r="B40" s="574" t="s">
        <v>1104</v>
      </c>
      <c r="C40" s="574" t="s">
        <v>1069</v>
      </c>
      <c r="D40" s="574" t="s">
        <v>1079</v>
      </c>
      <c r="E40" s="574" t="s">
        <v>707</v>
      </c>
      <c r="F40" s="574" t="s">
        <v>707</v>
      </c>
      <c r="G40" s="574" t="s">
        <v>707</v>
      </c>
      <c r="H40" s="574" t="s">
        <v>707</v>
      </c>
      <c r="I40" s="574">
        <v>1</v>
      </c>
    </row>
    <row r="41" spans="1:9" ht="15" x14ac:dyDescent="0.25">
      <c r="B41" s="574" t="s">
        <v>1104</v>
      </c>
      <c r="C41" s="574" t="s">
        <v>1067</v>
      </c>
      <c r="D41" s="574" t="s">
        <v>1076</v>
      </c>
      <c r="E41" s="574" t="s">
        <v>707</v>
      </c>
      <c r="F41" s="574" t="s">
        <v>707</v>
      </c>
      <c r="G41" s="574" t="s">
        <v>707</v>
      </c>
      <c r="H41" s="574" t="s">
        <v>707</v>
      </c>
      <c r="I41" s="574">
        <v>1</v>
      </c>
    </row>
    <row r="42" spans="1:9" ht="15" x14ac:dyDescent="0.25">
      <c r="B42" s="574" t="s">
        <v>1104</v>
      </c>
      <c r="C42" s="574" t="s">
        <v>1065</v>
      </c>
      <c r="D42" s="574" t="s">
        <v>1076</v>
      </c>
      <c r="E42" s="574" t="s">
        <v>707</v>
      </c>
      <c r="F42" s="574" t="s">
        <v>707</v>
      </c>
      <c r="G42" s="574" t="s">
        <v>707</v>
      </c>
      <c r="H42" s="574" t="s">
        <v>707</v>
      </c>
      <c r="I42" s="574">
        <v>1</v>
      </c>
    </row>
    <row r="43" spans="1:9" ht="15" x14ac:dyDescent="0.25">
      <c r="B43" s="574" t="s">
        <v>1104</v>
      </c>
      <c r="C43" s="574" t="s">
        <v>1063</v>
      </c>
      <c r="D43" s="574" t="s">
        <v>1081</v>
      </c>
      <c r="E43" s="574" t="s">
        <v>707</v>
      </c>
      <c r="F43" s="574" t="s">
        <v>707</v>
      </c>
      <c r="G43" s="574" t="s">
        <v>707</v>
      </c>
      <c r="H43" s="574" t="s">
        <v>707</v>
      </c>
      <c r="I43" s="574">
        <v>1</v>
      </c>
    </row>
    <row r="44" spans="1:9" ht="15" x14ac:dyDescent="0.25">
      <c r="B44" s="574" t="s">
        <v>1104</v>
      </c>
      <c r="C44" s="574" t="s">
        <v>1063</v>
      </c>
      <c r="D44" s="574" t="s">
        <v>1076</v>
      </c>
      <c r="E44" s="574" t="s">
        <v>707</v>
      </c>
      <c r="F44" s="574" t="s">
        <v>707</v>
      </c>
      <c r="G44" s="574" t="s">
        <v>707</v>
      </c>
      <c r="H44" s="574" t="s">
        <v>707</v>
      </c>
      <c r="I44" s="574">
        <v>1</v>
      </c>
    </row>
    <row r="45" spans="1:9" ht="15" x14ac:dyDescent="0.25">
      <c r="B45" s="574" t="s">
        <v>1104</v>
      </c>
      <c r="C45" s="574" t="s">
        <v>1063</v>
      </c>
      <c r="D45" s="574" t="s">
        <v>41</v>
      </c>
      <c r="E45" s="574" t="s">
        <v>707</v>
      </c>
      <c r="F45" s="574" t="s">
        <v>707</v>
      </c>
      <c r="G45" s="574" t="s">
        <v>707</v>
      </c>
      <c r="H45" s="574" t="s">
        <v>707</v>
      </c>
      <c r="I45" s="574">
        <v>1</v>
      </c>
    </row>
    <row r="46" spans="1:9" ht="15" x14ac:dyDescent="0.25">
      <c r="B46" s="574" t="s">
        <v>1104</v>
      </c>
      <c r="C46" s="574" t="s">
        <v>1061</v>
      </c>
      <c r="D46" s="574" t="s">
        <v>1081</v>
      </c>
      <c r="E46" s="574" t="s">
        <v>707</v>
      </c>
      <c r="F46" s="574" t="s">
        <v>707</v>
      </c>
      <c r="G46" s="574" t="s">
        <v>707</v>
      </c>
      <c r="H46" s="574" t="s">
        <v>707</v>
      </c>
      <c r="I46" s="574">
        <v>1</v>
      </c>
    </row>
    <row r="47" spans="1:9" ht="15" x14ac:dyDescent="0.25">
      <c r="B47" s="574" t="s">
        <v>1104</v>
      </c>
      <c r="C47" s="574" t="s">
        <v>1058</v>
      </c>
      <c r="D47" s="574" t="s">
        <v>1083</v>
      </c>
      <c r="E47" s="574" t="s">
        <v>707</v>
      </c>
      <c r="F47" s="574" t="s">
        <v>707</v>
      </c>
      <c r="G47" s="574" t="s">
        <v>707</v>
      </c>
      <c r="H47" s="574" t="s">
        <v>707</v>
      </c>
      <c r="I47" s="574">
        <v>1</v>
      </c>
    </row>
    <row r="48" spans="1:9" ht="15" x14ac:dyDescent="0.25">
      <c r="B48" s="574" t="s">
        <v>1104</v>
      </c>
      <c r="C48" s="574" t="s">
        <v>1058</v>
      </c>
      <c r="D48" s="574" t="s">
        <v>1072</v>
      </c>
      <c r="E48" s="574" t="s">
        <v>707</v>
      </c>
      <c r="F48" s="574" t="s">
        <v>707</v>
      </c>
      <c r="G48" s="574" t="s">
        <v>707</v>
      </c>
      <c r="H48" s="574" t="s">
        <v>707</v>
      </c>
      <c r="I48" s="574">
        <v>1</v>
      </c>
    </row>
    <row r="49" spans="1:9" ht="15" x14ac:dyDescent="0.25">
      <c r="B49" s="574" t="s">
        <v>1104</v>
      </c>
      <c r="C49" s="574" t="s">
        <v>1055</v>
      </c>
      <c r="D49" s="574" t="s">
        <v>1076</v>
      </c>
      <c r="E49" s="574" t="s">
        <v>707</v>
      </c>
      <c r="F49" s="574" t="s">
        <v>707</v>
      </c>
      <c r="G49" s="574" t="s">
        <v>707</v>
      </c>
      <c r="H49" s="574" t="s">
        <v>707</v>
      </c>
      <c r="I49" s="574">
        <v>1</v>
      </c>
    </row>
    <row r="50" spans="1:9" ht="15" x14ac:dyDescent="0.25">
      <c r="B50" s="574" t="s">
        <v>1104</v>
      </c>
      <c r="C50" s="574" t="s">
        <v>1055</v>
      </c>
      <c r="D50" s="574" t="s">
        <v>1072</v>
      </c>
      <c r="E50" s="574" t="s">
        <v>707</v>
      </c>
      <c r="F50" s="574" t="s">
        <v>707</v>
      </c>
      <c r="G50" s="574" t="s">
        <v>707</v>
      </c>
      <c r="H50" s="574" t="s">
        <v>707</v>
      </c>
      <c r="I50" s="574">
        <v>1</v>
      </c>
    </row>
    <row r="51" spans="1:9" ht="15" x14ac:dyDescent="0.25">
      <c r="A51" s="572" t="s">
        <v>1052</v>
      </c>
      <c r="B51" s="574" t="s">
        <v>1104</v>
      </c>
      <c r="C51" s="574" t="s">
        <v>1051</v>
      </c>
      <c r="D51" s="574" t="s">
        <v>1105</v>
      </c>
      <c r="E51" s="574" t="s">
        <v>707</v>
      </c>
      <c r="F51" s="574" t="s">
        <v>707</v>
      </c>
      <c r="G51" s="574" t="s">
        <v>707</v>
      </c>
      <c r="H51" s="574" t="s">
        <v>707</v>
      </c>
      <c r="I51" s="574">
        <v>1</v>
      </c>
    </row>
    <row r="52" spans="1:9" ht="15" x14ac:dyDescent="0.25">
      <c r="B52" s="574" t="s">
        <v>1104</v>
      </c>
      <c r="C52" s="574" t="s">
        <v>1043</v>
      </c>
      <c r="D52" s="574" t="s">
        <v>39</v>
      </c>
      <c r="E52" s="574" t="s">
        <v>707</v>
      </c>
      <c r="F52" s="574" t="s">
        <v>707</v>
      </c>
      <c r="G52" s="574" t="s">
        <v>707</v>
      </c>
      <c r="H52" s="574" t="s">
        <v>707</v>
      </c>
      <c r="I52" s="574">
        <v>1</v>
      </c>
    </row>
    <row r="53" spans="1:9" ht="15" x14ac:dyDescent="0.25">
      <c r="B53" s="574" t="s">
        <v>1103</v>
      </c>
      <c r="C53" s="574" t="s">
        <v>1069</v>
      </c>
      <c r="D53" s="574" t="s">
        <v>42</v>
      </c>
      <c r="E53" s="574" t="s">
        <v>707</v>
      </c>
      <c r="F53" s="574" t="s">
        <v>707</v>
      </c>
      <c r="G53" s="574" t="s">
        <v>707</v>
      </c>
      <c r="H53" s="574" t="s">
        <v>707</v>
      </c>
      <c r="I53" s="574">
        <v>1</v>
      </c>
    </row>
    <row r="54" spans="1:9" ht="15" x14ac:dyDescent="0.25">
      <c r="B54" s="574" t="s">
        <v>1103</v>
      </c>
      <c r="C54" s="574" t="s">
        <v>1067</v>
      </c>
      <c r="D54" s="574" t="s">
        <v>1072</v>
      </c>
      <c r="E54" s="574" t="s">
        <v>707</v>
      </c>
      <c r="F54" s="574" t="s">
        <v>707</v>
      </c>
      <c r="G54" s="574" t="s">
        <v>707</v>
      </c>
      <c r="H54" s="574" t="s">
        <v>707</v>
      </c>
      <c r="I54" s="574">
        <v>1</v>
      </c>
    </row>
    <row r="55" spans="1:9" ht="15" x14ac:dyDescent="0.25">
      <c r="B55" s="574" t="s">
        <v>1103</v>
      </c>
      <c r="C55" s="574" t="s">
        <v>1065</v>
      </c>
      <c r="D55" s="574" t="s">
        <v>1076</v>
      </c>
      <c r="E55" s="574" t="s">
        <v>707</v>
      </c>
      <c r="F55" s="574" t="s">
        <v>707</v>
      </c>
      <c r="G55" s="574" t="s">
        <v>707</v>
      </c>
      <c r="H55" s="574" t="s">
        <v>707</v>
      </c>
      <c r="I55" s="574">
        <v>1</v>
      </c>
    </row>
    <row r="56" spans="1:9" ht="15" x14ac:dyDescent="0.25">
      <c r="B56" s="574" t="s">
        <v>1103</v>
      </c>
      <c r="C56" s="574" t="s">
        <v>1063</v>
      </c>
      <c r="D56" s="574" t="s">
        <v>1079</v>
      </c>
      <c r="E56" s="574" t="s">
        <v>707</v>
      </c>
      <c r="F56" s="574" t="s">
        <v>707</v>
      </c>
      <c r="G56" s="574" t="s">
        <v>707</v>
      </c>
      <c r="H56" s="574" t="s">
        <v>707</v>
      </c>
      <c r="I56" s="574">
        <v>1</v>
      </c>
    </row>
    <row r="57" spans="1:9" ht="15" x14ac:dyDescent="0.25">
      <c r="B57" s="574" t="s">
        <v>1103</v>
      </c>
      <c r="C57" s="574" t="s">
        <v>1061</v>
      </c>
      <c r="D57" s="574" t="s">
        <v>1081</v>
      </c>
      <c r="E57" s="574" t="s">
        <v>707</v>
      </c>
      <c r="F57" s="574" t="s">
        <v>707</v>
      </c>
      <c r="G57" s="574" t="s">
        <v>707</v>
      </c>
      <c r="H57" s="574" t="s">
        <v>707</v>
      </c>
      <c r="I57" s="574">
        <v>1</v>
      </c>
    </row>
    <row r="58" spans="1:9" ht="15" x14ac:dyDescent="0.25">
      <c r="B58" s="574" t="s">
        <v>1103</v>
      </c>
      <c r="C58" s="574" t="s">
        <v>1058</v>
      </c>
      <c r="D58" s="574" t="s">
        <v>1081</v>
      </c>
      <c r="E58" s="574" t="s">
        <v>707</v>
      </c>
      <c r="F58" s="574" t="s">
        <v>707</v>
      </c>
      <c r="G58" s="574" t="s">
        <v>707</v>
      </c>
      <c r="H58" s="574" t="s">
        <v>707</v>
      </c>
      <c r="I58" s="574">
        <v>1</v>
      </c>
    </row>
    <row r="59" spans="1:9" ht="15" x14ac:dyDescent="0.25">
      <c r="B59" s="574" t="s">
        <v>1103</v>
      </c>
      <c r="C59" s="574" t="s">
        <v>1055</v>
      </c>
      <c r="D59" s="574" t="s">
        <v>1072</v>
      </c>
      <c r="E59" s="574" t="s">
        <v>707</v>
      </c>
      <c r="F59" s="574" t="s">
        <v>707</v>
      </c>
      <c r="G59" s="574" t="s">
        <v>707</v>
      </c>
      <c r="H59" s="574" t="s">
        <v>707</v>
      </c>
      <c r="I59" s="574">
        <v>1</v>
      </c>
    </row>
    <row r="60" spans="1:9" ht="15" x14ac:dyDescent="0.25">
      <c r="A60" s="572" t="s">
        <v>1052</v>
      </c>
      <c r="B60" s="574" t="s">
        <v>1103</v>
      </c>
      <c r="C60" s="574" t="s">
        <v>1051</v>
      </c>
      <c r="D60" s="574" t="s">
        <v>1076</v>
      </c>
      <c r="E60" s="574" t="s">
        <v>707</v>
      </c>
      <c r="F60" s="574" t="s">
        <v>707</v>
      </c>
      <c r="G60" s="574" t="s">
        <v>707</v>
      </c>
      <c r="H60" s="574" t="s">
        <v>707</v>
      </c>
      <c r="I60" s="574">
        <v>1</v>
      </c>
    </row>
    <row r="61" spans="1:9" ht="15" x14ac:dyDescent="0.25">
      <c r="B61" s="574" t="s">
        <v>1103</v>
      </c>
      <c r="C61" s="574" t="s">
        <v>1047</v>
      </c>
      <c r="D61" s="574" t="s">
        <v>1083</v>
      </c>
      <c r="E61" s="574" t="s">
        <v>707</v>
      </c>
      <c r="F61" s="574" t="s">
        <v>707</v>
      </c>
      <c r="G61" s="574" t="s">
        <v>707</v>
      </c>
      <c r="H61" s="574" t="s">
        <v>707</v>
      </c>
      <c r="I61" s="574">
        <v>1</v>
      </c>
    </row>
    <row r="62" spans="1:9" ht="15" x14ac:dyDescent="0.25">
      <c r="B62" s="574" t="s">
        <v>1103</v>
      </c>
      <c r="C62" s="574" t="s">
        <v>1043</v>
      </c>
      <c r="D62" s="574" t="s">
        <v>1076</v>
      </c>
      <c r="E62" s="574" t="s">
        <v>707</v>
      </c>
      <c r="F62" s="574" t="s">
        <v>707</v>
      </c>
      <c r="G62" s="574" t="s">
        <v>707</v>
      </c>
      <c r="H62" s="574" t="s">
        <v>707</v>
      </c>
      <c r="I62" s="574">
        <v>1</v>
      </c>
    </row>
    <row r="63" spans="1:9" ht="15" x14ac:dyDescent="0.25">
      <c r="B63" t="s">
        <v>1108</v>
      </c>
      <c r="C63" t="s">
        <v>1546</v>
      </c>
      <c r="D63" t="s">
        <v>707</v>
      </c>
      <c r="E63" t="s">
        <v>1547</v>
      </c>
      <c r="F63" t="s">
        <v>707</v>
      </c>
      <c r="G63" t="s">
        <v>707</v>
      </c>
      <c r="H63" t="s">
        <v>707</v>
      </c>
      <c r="I63">
        <v>1</v>
      </c>
    </row>
    <row r="64" spans="1:9" ht="15" x14ac:dyDescent="0.25">
      <c r="B64" t="s">
        <v>1107</v>
      </c>
      <c r="C64" t="s">
        <v>1546</v>
      </c>
      <c r="D64" t="s">
        <v>707</v>
      </c>
      <c r="E64" t="s">
        <v>707</v>
      </c>
      <c r="F64" t="s">
        <v>707</v>
      </c>
      <c r="G64" t="s">
        <v>707</v>
      </c>
      <c r="H64" t="s">
        <v>707</v>
      </c>
      <c r="I64">
        <v>1</v>
      </c>
    </row>
    <row r="65" spans="2:9" ht="15" x14ac:dyDescent="0.25">
      <c r="B65" t="s">
        <v>1104</v>
      </c>
      <c r="C65" t="s">
        <v>1546</v>
      </c>
      <c r="D65" t="s">
        <v>1081</v>
      </c>
      <c r="E65" t="s">
        <v>707</v>
      </c>
      <c r="F65" t="s">
        <v>707</v>
      </c>
      <c r="G65" t="s">
        <v>707</v>
      </c>
      <c r="H65" t="s">
        <v>707</v>
      </c>
      <c r="I65">
        <v>1</v>
      </c>
    </row>
    <row r="66" spans="2:9" ht="15" x14ac:dyDescent="0.25">
      <c r="B66" t="s">
        <v>1103</v>
      </c>
      <c r="C66" t="s">
        <v>1546</v>
      </c>
      <c r="D66" t="s">
        <v>1547</v>
      </c>
      <c r="E66" t="s">
        <v>707</v>
      </c>
      <c r="F66" t="s">
        <v>707</v>
      </c>
      <c r="G66" t="s">
        <v>707</v>
      </c>
      <c r="H66" t="s">
        <v>707</v>
      </c>
      <c r="I66">
        <v>1</v>
      </c>
    </row>
  </sheetData>
  <autoFilter ref="A1:I62" xr:uid="{3D8743F4-504B-4AD8-AF56-F6F7A8E6231C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FFDDC-C6D5-468A-AEA1-6EDFDEFFE902}">
  <sheetPr>
    <tabColor theme="0" tint="-0.34998626667073579"/>
  </sheetPr>
  <dimension ref="A1:F93"/>
  <sheetViews>
    <sheetView tabSelected="1" workbookViewId="0">
      <selection activeCell="D20" sqref="D20"/>
    </sheetView>
  </sheetViews>
  <sheetFormatPr defaultColWidth="10.28515625" defaultRowHeight="15" x14ac:dyDescent="0.25"/>
  <cols>
    <col min="1" max="1" width="6.28515625" style="113" bestFit="1" customWidth="1"/>
    <col min="2" max="2" width="8.85546875" style="113" bestFit="1" customWidth="1"/>
    <col min="3" max="3" width="18.28515625" style="113" bestFit="1" customWidth="1"/>
    <col min="4" max="4" width="87.7109375" style="113" bestFit="1" customWidth="1"/>
    <col min="5" max="5" width="11" style="113" bestFit="1" customWidth="1"/>
    <col min="6" max="6" width="24.7109375" style="113" bestFit="1" customWidth="1"/>
    <col min="7" max="16384" width="10.28515625" style="113"/>
  </cols>
  <sheetData>
    <row r="1" spans="1:6" x14ac:dyDescent="0.25">
      <c r="A1" s="113" t="s">
        <v>1514</v>
      </c>
      <c r="B1" s="113" t="s">
        <v>1084</v>
      </c>
    </row>
    <row r="2" spans="1:6" x14ac:dyDescent="0.25">
      <c r="A2" s="113" t="s">
        <v>1052</v>
      </c>
      <c r="B2" s="113" t="s">
        <v>1397</v>
      </c>
      <c r="C2" s="113" t="s">
        <v>1429</v>
      </c>
      <c r="D2" s="113" t="s">
        <v>1428</v>
      </c>
      <c r="E2" s="113" t="s">
        <v>1394</v>
      </c>
      <c r="F2" s="113" t="s">
        <v>1393</v>
      </c>
    </row>
    <row r="3" spans="1:6" x14ac:dyDescent="0.25">
      <c r="A3" s="113" t="s">
        <v>1052</v>
      </c>
      <c r="B3" s="113" t="s">
        <v>1397</v>
      </c>
      <c r="C3" s="113" t="s">
        <v>1427</v>
      </c>
      <c r="D3" s="113" t="s">
        <v>1426</v>
      </c>
      <c r="E3" s="113" t="s">
        <v>1394</v>
      </c>
      <c r="F3" s="113" t="s">
        <v>1393</v>
      </c>
    </row>
    <row r="4" spans="1:6" x14ac:dyDescent="0.25">
      <c r="A4" s="113" t="s">
        <v>1052</v>
      </c>
      <c r="B4" s="113" t="s">
        <v>1397</v>
      </c>
      <c r="C4" s="113" t="s">
        <v>1425</v>
      </c>
      <c r="D4" s="113" t="s">
        <v>1424</v>
      </c>
      <c r="E4" s="113" t="s">
        <v>1394</v>
      </c>
      <c r="F4" s="113" t="s">
        <v>1393</v>
      </c>
    </row>
    <row r="5" spans="1:6" x14ac:dyDescent="0.25">
      <c r="A5" s="113" t="s">
        <v>1052</v>
      </c>
      <c r="B5" s="113" t="s">
        <v>1397</v>
      </c>
      <c r="C5" s="113" t="s">
        <v>1423</v>
      </c>
      <c r="D5" s="113" t="s">
        <v>1422</v>
      </c>
      <c r="E5" s="113" t="s">
        <v>1394</v>
      </c>
      <c r="F5" s="113" t="s">
        <v>1393</v>
      </c>
    </row>
    <row r="6" spans="1:6" x14ac:dyDescent="0.25">
      <c r="A6" s="113" t="s">
        <v>1052</v>
      </c>
      <c r="B6" s="113" t="s">
        <v>1397</v>
      </c>
      <c r="C6" s="113" t="s">
        <v>1421</v>
      </c>
      <c r="D6" s="113" t="s">
        <v>1420</v>
      </c>
      <c r="E6" s="113" t="s">
        <v>1394</v>
      </c>
      <c r="F6" s="113" t="s">
        <v>1393</v>
      </c>
    </row>
    <row r="7" spans="1:6" x14ac:dyDescent="0.25">
      <c r="A7" s="113" t="s">
        <v>1052</v>
      </c>
      <c r="B7" s="113" t="s">
        <v>1397</v>
      </c>
      <c r="C7" s="113" t="s">
        <v>1419</v>
      </c>
      <c r="D7" s="113" t="s">
        <v>1418</v>
      </c>
      <c r="E7" s="113" t="s">
        <v>1394</v>
      </c>
      <c r="F7" s="113" t="s">
        <v>1393</v>
      </c>
    </row>
    <row r="8" spans="1:6" x14ac:dyDescent="0.25">
      <c r="A8" s="113" t="s">
        <v>1052</v>
      </c>
      <c r="B8" s="113" t="s">
        <v>1397</v>
      </c>
      <c r="C8" s="113" t="s">
        <v>1417</v>
      </c>
      <c r="D8" s="113" t="s">
        <v>1416</v>
      </c>
      <c r="E8" s="113" t="s">
        <v>1394</v>
      </c>
      <c r="F8" s="113" t="s">
        <v>1393</v>
      </c>
    </row>
    <row r="9" spans="1:6" x14ac:dyDescent="0.25">
      <c r="A9" s="113" t="s">
        <v>1052</v>
      </c>
      <c r="B9" s="113" t="s">
        <v>1397</v>
      </c>
      <c r="C9" s="113" t="s">
        <v>1415</v>
      </c>
      <c r="D9" s="113" t="s">
        <v>1414</v>
      </c>
      <c r="E9" s="113" t="s">
        <v>1394</v>
      </c>
      <c r="F9" s="113" t="s">
        <v>1393</v>
      </c>
    </row>
    <row r="10" spans="1:6" x14ac:dyDescent="0.25">
      <c r="A10" s="113" t="s">
        <v>1052</v>
      </c>
      <c r="B10" s="113" t="s">
        <v>1397</v>
      </c>
      <c r="C10" s="113" t="s">
        <v>1413</v>
      </c>
      <c r="D10" s="113" t="s">
        <v>1412</v>
      </c>
      <c r="E10" s="113" t="s">
        <v>1394</v>
      </c>
      <c r="F10" s="113" t="s">
        <v>1393</v>
      </c>
    </row>
    <row r="11" spans="1:6" x14ac:dyDescent="0.25">
      <c r="A11" s="113" t="s">
        <v>1052</v>
      </c>
      <c r="B11" s="113" t="s">
        <v>1397</v>
      </c>
      <c r="C11" s="113" t="s">
        <v>1411</v>
      </c>
      <c r="D11" s="113" t="s">
        <v>1410</v>
      </c>
      <c r="E11" s="113" t="s">
        <v>1394</v>
      </c>
      <c r="F11" s="113" t="s">
        <v>1393</v>
      </c>
    </row>
    <row r="12" spans="1:6" x14ac:dyDescent="0.25">
      <c r="A12" s="113" t="s">
        <v>1052</v>
      </c>
      <c r="B12" s="113" t="s">
        <v>1397</v>
      </c>
      <c r="C12" s="113" t="s">
        <v>1409</v>
      </c>
      <c r="D12" s="113" t="s">
        <v>1408</v>
      </c>
      <c r="E12" s="113" t="s">
        <v>1394</v>
      </c>
      <c r="F12" s="113" t="s">
        <v>1393</v>
      </c>
    </row>
    <row r="13" spans="1:6" x14ac:dyDescent="0.25">
      <c r="A13" s="113" t="s">
        <v>1052</v>
      </c>
      <c r="B13" s="113" t="s">
        <v>1397</v>
      </c>
      <c r="C13" s="113" t="s">
        <v>1407</v>
      </c>
      <c r="D13" s="113" t="s">
        <v>1406</v>
      </c>
      <c r="E13" s="113" t="s">
        <v>1394</v>
      </c>
      <c r="F13" s="113" t="s">
        <v>1393</v>
      </c>
    </row>
    <row r="14" spans="1:6" x14ac:dyDescent="0.25">
      <c r="B14" s="113" t="s">
        <v>1397</v>
      </c>
      <c r="C14" s="113" t="s">
        <v>1405</v>
      </c>
      <c r="D14" s="113" t="s">
        <v>1404</v>
      </c>
      <c r="E14" s="113" t="s">
        <v>1394</v>
      </c>
      <c r="F14" s="113" t="s">
        <v>1393</v>
      </c>
    </row>
    <row r="15" spans="1:6" x14ac:dyDescent="0.25">
      <c r="B15" s="113" t="s">
        <v>1397</v>
      </c>
      <c r="C15" s="113" t="s">
        <v>1403</v>
      </c>
      <c r="D15" s="113" t="s">
        <v>1402</v>
      </c>
      <c r="E15" s="113" t="s">
        <v>1394</v>
      </c>
      <c r="F15" s="113" t="s">
        <v>1393</v>
      </c>
    </row>
    <row r="16" spans="1:6" x14ac:dyDescent="0.25">
      <c r="B16" s="113" t="s">
        <v>1397</v>
      </c>
      <c r="C16" s="113" t="s">
        <v>1401</v>
      </c>
      <c r="D16" s="113" t="s">
        <v>1400</v>
      </c>
      <c r="E16" s="113" t="s">
        <v>1394</v>
      </c>
      <c r="F16" s="113" t="s">
        <v>1393</v>
      </c>
    </row>
    <row r="17" spans="1:6" x14ac:dyDescent="0.25">
      <c r="A17" s="113" t="s">
        <v>1052</v>
      </c>
      <c r="B17" s="113" t="s">
        <v>1397</v>
      </c>
      <c r="C17" s="113" t="s">
        <v>1399</v>
      </c>
      <c r="D17" s="113" t="s">
        <v>1398</v>
      </c>
      <c r="E17" s="113" t="s">
        <v>1394</v>
      </c>
      <c r="F17" s="113" t="s">
        <v>1393</v>
      </c>
    </row>
    <row r="18" spans="1:6" x14ac:dyDescent="0.25">
      <c r="A18" s="113" t="s">
        <v>1052</v>
      </c>
      <c r="B18" s="113" t="s">
        <v>1397</v>
      </c>
      <c r="C18" s="113" t="s">
        <v>1396</v>
      </c>
      <c r="D18" s="113" t="s">
        <v>1395</v>
      </c>
      <c r="E18" s="113" t="s">
        <v>1394</v>
      </c>
      <c r="F18" s="113" t="s">
        <v>1393</v>
      </c>
    </row>
    <row r="19" spans="1:6" x14ac:dyDescent="0.25">
      <c r="B19" s="113" t="s">
        <v>1037</v>
      </c>
      <c r="C19" s="113" t="s">
        <v>1392</v>
      </c>
      <c r="D19" s="113" t="s">
        <v>1391</v>
      </c>
      <c r="F19" s="113" t="s">
        <v>1034</v>
      </c>
    </row>
    <row r="20" spans="1:6" x14ac:dyDescent="0.25">
      <c r="B20" s="113" t="s">
        <v>1037</v>
      </c>
      <c r="C20" s="113" t="s">
        <v>1390</v>
      </c>
      <c r="D20" s="113" t="s">
        <v>1389</v>
      </c>
      <c r="F20" s="113" t="s">
        <v>1034</v>
      </c>
    </row>
    <row r="21" spans="1:6" x14ac:dyDescent="0.25">
      <c r="B21" s="113" t="s">
        <v>1037</v>
      </c>
      <c r="C21" s="113" t="s">
        <v>1388</v>
      </c>
      <c r="D21" s="113" t="s">
        <v>1387</v>
      </c>
      <c r="F21" s="113" t="s">
        <v>1034</v>
      </c>
    </row>
    <row r="22" spans="1:6" x14ac:dyDescent="0.25">
      <c r="B22" s="113" t="s">
        <v>1037</v>
      </c>
      <c r="C22" s="113" t="s">
        <v>1386</v>
      </c>
      <c r="D22" s="113" t="s">
        <v>1385</v>
      </c>
      <c r="F22" s="113" t="s">
        <v>1034</v>
      </c>
    </row>
    <row r="23" spans="1:6" x14ac:dyDescent="0.25">
      <c r="B23" s="113" t="s">
        <v>1037</v>
      </c>
      <c r="C23" s="113" t="s">
        <v>1384</v>
      </c>
      <c r="D23" s="113" t="s">
        <v>1383</v>
      </c>
      <c r="F23" s="113" t="s">
        <v>1034</v>
      </c>
    </row>
    <row r="24" spans="1:6" x14ac:dyDescent="0.25">
      <c r="B24" s="113" t="s">
        <v>1037</v>
      </c>
      <c r="C24" s="113" t="s">
        <v>1382</v>
      </c>
      <c r="D24" s="113" t="s">
        <v>1381</v>
      </c>
      <c r="F24" s="113" t="s">
        <v>1034</v>
      </c>
    </row>
    <row r="25" spans="1:6" x14ac:dyDescent="0.25">
      <c r="B25" s="113" t="s">
        <v>1037</v>
      </c>
      <c r="C25" s="113" t="s">
        <v>1380</v>
      </c>
      <c r="D25" s="113" t="s">
        <v>1379</v>
      </c>
      <c r="F25" s="113" t="s">
        <v>1034</v>
      </c>
    </row>
    <row r="26" spans="1:6" x14ac:dyDescent="0.25">
      <c r="B26" s="113" t="s">
        <v>1037</v>
      </c>
      <c r="C26" s="113" t="s">
        <v>1378</v>
      </c>
      <c r="D26" s="113" t="s">
        <v>1377</v>
      </c>
      <c r="F26" s="113" t="s">
        <v>1034</v>
      </c>
    </row>
    <row r="27" spans="1:6" x14ac:dyDescent="0.25">
      <c r="B27" s="113" t="s">
        <v>1037</v>
      </c>
      <c r="C27" s="113" t="s">
        <v>1376</v>
      </c>
      <c r="D27" s="113" t="s">
        <v>1375</v>
      </c>
      <c r="F27" s="113" t="s">
        <v>1034</v>
      </c>
    </row>
    <row r="28" spans="1:6" x14ac:dyDescent="0.25">
      <c r="B28" s="113" t="s">
        <v>1037</v>
      </c>
      <c r="C28" s="113" t="s">
        <v>1374</v>
      </c>
      <c r="D28" s="113" t="s">
        <v>1373</v>
      </c>
      <c r="F28" s="113" t="s">
        <v>1034</v>
      </c>
    </row>
    <row r="29" spans="1:6" x14ac:dyDescent="0.25">
      <c r="B29" s="113" t="s">
        <v>1037</v>
      </c>
      <c r="C29" s="113" t="s">
        <v>1372</v>
      </c>
      <c r="D29" s="113" t="s">
        <v>1371</v>
      </c>
      <c r="F29" s="113" t="s">
        <v>1034</v>
      </c>
    </row>
    <row r="30" spans="1:6" x14ac:dyDescent="0.25">
      <c r="B30" s="113" t="s">
        <v>1037</v>
      </c>
      <c r="C30" s="113" t="s">
        <v>1370</v>
      </c>
      <c r="D30" s="113" t="s">
        <v>1369</v>
      </c>
      <c r="F30" s="113" t="s">
        <v>1034</v>
      </c>
    </row>
    <row r="31" spans="1:6" x14ac:dyDescent="0.25">
      <c r="B31" s="113" t="s">
        <v>1037</v>
      </c>
      <c r="C31" s="113" t="s">
        <v>1368</v>
      </c>
      <c r="D31" s="113" t="s">
        <v>1367</v>
      </c>
      <c r="F31" s="113" t="s">
        <v>1034</v>
      </c>
    </row>
    <row r="32" spans="1:6" x14ac:dyDescent="0.25">
      <c r="B32" s="113" t="s">
        <v>1037</v>
      </c>
      <c r="C32" s="113" t="s">
        <v>1366</v>
      </c>
      <c r="D32" s="113" t="s">
        <v>1365</v>
      </c>
      <c r="F32" s="113" t="s">
        <v>1034</v>
      </c>
    </row>
    <row r="33" spans="2:6" x14ac:dyDescent="0.25">
      <c r="B33" s="113" t="s">
        <v>1037</v>
      </c>
      <c r="C33" s="113" t="s">
        <v>1364</v>
      </c>
      <c r="D33" s="113" t="s">
        <v>1363</v>
      </c>
      <c r="F33" s="113" t="s">
        <v>1034</v>
      </c>
    </row>
    <row r="34" spans="2:6" x14ac:dyDescent="0.25">
      <c r="B34" s="113" t="s">
        <v>1037</v>
      </c>
      <c r="C34" s="113" t="s">
        <v>1362</v>
      </c>
      <c r="D34" s="113" t="s">
        <v>1361</v>
      </c>
      <c r="F34" s="113" t="s">
        <v>1034</v>
      </c>
    </row>
    <row r="35" spans="2:6" x14ac:dyDescent="0.25">
      <c r="B35" s="113" t="s">
        <v>1037</v>
      </c>
      <c r="C35" s="113" t="s">
        <v>1360</v>
      </c>
      <c r="D35" s="113" t="s">
        <v>1359</v>
      </c>
      <c r="F35" s="113" t="s">
        <v>1034</v>
      </c>
    </row>
    <row r="36" spans="2:6" x14ac:dyDescent="0.25">
      <c r="B36" s="113" t="s">
        <v>1037</v>
      </c>
      <c r="C36" s="113" t="s">
        <v>1358</v>
      </c>
      <c r="D36" s="113" t="s">
        <v>1357</v>
      </c>
      <c r="F36" s="113" t="s">
        <v>1034</v>
      </c>
    </row>
    <row r="37" spans="2:6" x14ac:dyDescent="0.25">
      <c r="B37" s="113" t="s">
        <v>1037</v>
      </c>
      <c r="C37" s="113" t="s">
        <v>1356</v>
      </c>
      <c r="D37" s="113" t="s">
        <v>1355</v>
      </c>
      <c r="F37" s="113" t="s">
        <v>1034</v>
      </c>
    </row>
    <row r="38" spans="2:6" x14ac:dyDescent="0.25">
      <c r="B38" s="113" t="s">
        <v>1037</v>
      </c>
      <c r="C38" s="113" t="s">
        <v>1354</v>
      </c>
      <c r="D38" s="113" t="s">
        <v>1353</v>
      </c>
      <c r="F38" s="113" t="s">
        <v>1034</v>
      </c>
    </row>
    <row r="39" spans="2:6" x14ac:dyDescent="0.25">
      <c r="B39" s="113" t="s">
        <v>1037</v>
      </c>
      <c r="C39" s="113" t="s">
        <v>1352</v>
      </c>
      <c r="D39" s="113" t="s">
        <v>1351</v>
      </c>
      <c r="F39" s="113" t="s">
        <v>1034</v>
      </c>
    </row>
    <row r="40" spans="2:6" x14ac:dyDescent="0.25">
      <c r="B40" s="113" t="s">
        <v>1073</v>
      </c>
      <c r="C40" s="113" t="s">
        <v>1350</v>
      </c>
      <c r="D40" s="113" t="s">
        <v>1349</v>
      </c>
      <c r="E40" s="113" t="s">
        <v>143</v>
      </c>
      <c r="F40" s="113" t="s">
        <v>1077</v>
      </c>
    </row>
    <row r="41" spans="2:6" x14ac:dyDescent="0.25">
      <c r="B41" s="113" t="s">
        <v>1073</v>
      </c>
      <c r="C41" s="113" t="s">
        <v>1348</v>
      </c>
      <c r="D41" s="113" t="s">
        <v>1347</v>
      </c>
      <c r="E41" s="113" t="s">
        <v>143</v>
      </c>
      <c r="F41" s="113" t="s">
        <v>1077</v>
      </c>
    </row>
    <row r="42" spans="2:6" x14ac:dyDescent="0.25">
      <c r="B42" s="113" t="s">
        <v>1073</v>
      </c>
      <c r="C42" s="113" t="s">
        <v>43</v>
      </c>
      <c r="D42" s="113" t="s">
        <v>1346</v>
      </c>
      <c r="E42" s="113" t="s">
        <v>143</v>
      </c>
      <c r="F42" s="113" t="s">
        <v>1077</v>
      </c>
    </row>
    <row r="43" spans="2:6" x14ac:dyDescent="0.25">
      <c r="B43" s="113" t="s">
        <v>1073</v>
      </c>
      <c r="C43" s="113" t="s">
        <v>1345</v>
      </c>
      <c r="D43" s="113" t="s">
        <v>1344</v>
      </c>
      <c r="E43" s="113" t="s">
        <v>1309</v>
      </c>
      <c r="F43" s="113" t="s">
        <v>1308</v>
      </c>
    </row>
    <row r="44" spans="2:6" x14ac:dyDescent="0.25">
      <c r="B44" s="113" t="s">
        <v>1073</v>
      </c>
      <c r="C44" s="113" t="s">
        <v>40</v>
      </c>
      <c r="D44" s="113" t="s">
        <v>1343</v>
      </c>
      <c r="E44" s="113" t="s">
        <v>143</v>
      </c>
      <c r="F44" s="113" t="s">
        <v>1077</v>
      </c>
    </row>
    <row r="45" spans="2:6" x14ac:dyDescent="0.25">
      <c r="B45" s="113" t="s">
        <v>1073</v>
      </c>
      <c r="C45" s="113" t="s">
        <v>1342</v>
      </c>
      <c r="D45" s="113" t="s">
        <v>1341</v>
      </c>
      <c r="E45" s="113" t="s">
        <v>143</v>
      </c>
      <c r="F45" s="113" t="s">
        <v>1077</v>
      </c>
    </row>
    <row r="46" spans="2:6" x14ac:dyDescent="0.25">
      <c r="B46" s="113" t="s">
        <v>1073</v>
      </c>
      <c r="C46" s="113" t="s">
        <v>42</v>
      </c>
      <c r="D46" s="113" t="s">
        <v>1340</v>
      </c>
      <c r="E46" s="113" t="s">
        <v>902</v>
      </c>
      <c r="F46" s="113" t="s">
        <v>1339</v>
      </c>
    </row>
    <row r="47" spans="2:6" x14ac:dyDescent="0.25">
      <c r="B47" s="113" t="s">
        <v>1073</v>
      </c>
      <c r="C47" s="113" t="s">
        <v>592</v>
      </c>
      <c r="D47" s="113" t="s">
        <v>1338</v>
      </c>
      <c r="E47" s="113" t="s">
        <v>143</v>
      </c>
      <c r="F47" s="113" t="s">
        <v>1077</v>
      </c>
    </row>
    <row r="48" spans="2:6" x14ac:dyDescent="0.25">
      <c r="B48" s="113" t="s">
        <v>1073</v>
      </c>
      <c r="C48" s="113" t="s">
        <v>1337</v>
      </c>
      <c r="D48" s="113" t="s">
        <v>1267</v>
      </c>
      <c r="E48" s="113" t="s">
        <v>143</v>
      </c>
      <c r="F48" s="113" t="s">
        <v>1077</v>
      </c>
    </row>
    <row r="49" spans="2:6" x14ac:dyDescent="0.25">
      <c r="B49" s="113" t="s">
        <v>1073</v>
      </c>
      <c r="C49" s="113" t="s">
        <v>595</v>
      </c>
      <c r="D49" s="113" t="s">
        <v>1265</v>
      </c>
      <c r="E49" s="113" t="s">
        <v>143</v>
      </c>
      <c r="F49" s="113" t="s">
        <v>1077</v>
      </c>
    </row>
    <row r="50" spans="2:6" x14ac:dyDescent="0.25">
      <c r="B50" s="113" t="s">
        <v>1073</v>
      </c>
      <c r="C50" s="113" t="s">
        <v>41</v>
      </c>
      <c r="D50" s="113" t="s">
        <v>1336</v>
      </c>
      <c r="E50" s="113" t="s">
        <v>143</v>
      </c>
      <c r="F50" s="113" t="s">
        <v>1077</v>
      </c>
    </row>
    <row r="51" spans="2:6" x14ac:dyDescent="0.25">
      <c r="B51" s="113" t="s">
        <v>1073</v>
      </c>
      <c r="C51" s="113" t="s">
        <v>1335</v>
      </c>
      <c r="D51" s="113" t="s">
        <v>1334</v>
      </c>
      <c r="E51" s="113" t="s">
        <v>143</v>
      </c>
      <c r="F51" s="113" t="s">
        <v>1077</v>
      </c>
    </row>
    <row r="52" spans="2:6" x14ac:dyDescent="0.25">
      <c r="B52" s="113" t="s">
        <v>1073</v>
      </c>
      <c r="C52" s="113" t="s">
        <v>1333</v>
      </c>
      <c r="D52" s="113" t="s">
        <v>1332</v>
      </c>
      <c r="E52" s="113" t="s">
        <v>1309</v>
      </c>
      <c r="F52" s="113" t="s">
        <v>1308</v>
      </c>
    </row>
    <row r="53" spans="2:6" x14ac:dyDescent="0.25">
      <c r="B53" s="113" t="s">
        <v>1073</v>
      </c>
      <c r="C53" s="113" t="s">
        <v>1331</v>
      </c>
      <c r="D53" s="113" t="s">
        <v>1330</v>
      </c>
      <c r="E53" s="113" t="s">
        <v>1309</v>
      </c>
      <c r="F53" s="113" t="s">
        <v>1308</v>
      </c>
    </row>
    <row r="54" spans="2:6" x14ac:dyDescent="0.25">
      <c r="B54" s="113" t="s">
        <v>1073</v>
      </c>
      <c r="C54" s="113" t="s">
        <v>1329</v>
      </c>
      <c r="D54" s="113" t="s">
        <v>1328</v>
      </c>
      <c r="E54" s="113" t="s">
        <v>1309</v>
      </c>
      <c r="F54" s="113" t="s">
        <v>1308</v>
      </c>
    </row>
    <row r="55" spans="2:6" x14ac:dyDescent="0.25">
      <c r="B55" s="113" t="s">
        <v>1073</v>
      </c>
      <c r="C55" s="113" t="s">
        <v>1327</v>
      </c>
      <c r="D55" s="113" t="s">
        <v>1326</v>
      </c>
      <c r="E55" s="113" t="s">
        <v>143</v>
      </c>
      <c r="F55" s="113" t="s">
        <v>1077</v>
      </c>
    </row>
    <row r="56" spans="2:6" x14ac:dyDescent="0.25">
      <c r="B56" s="113" t="s">
        <v>1073</v>
      </c>
      <c r="C56" s="113" t="s">
        <v>1325</v>
      </c>
      <c r="D56" s="113" t="s">
        <v>1324</v>
      </c>
      <c r="E56" s="113" t="s">
        <v>143</v>
      </c>
      <c r="F56" s="113" t="s">
        <v>1077</v>
      </c>
    </row>
    <row r="57" spans="2:6" x14ac:dyDescent="0.25">
      <c r="B57" s="113" t="s">
        <v>1073</v>
      </c>
      <c r="C57" s="113" t="s">
        <v>1323</v>
      </c>
      <c r="D57" s="113" t="s">
        <v>1322</v>
      </c>
      <c r="E57" s="113" t="s">
        <v>143</v>
      </c>
      <c r="F57" s="113" t="s">
        <v>1077</v>
      </c>
    </row>
    <row r="58" spans="2:6" x14ac:dyDescent="0.25">
      <c r="B58" s="113" t="s">
        <v>1073</v>
      </c>
      <c r="C58" s="113" t="s">
        <v>1321</v>
      </c>
      <c r="D58" s="113" t="s">
        <v>1320</v>
      </c>
      <c r="E58" s="113" t="s">
        <v>1309</v>
      </c>
      <c r="F58" s="113" t="s">
        <v>1308</v>
      </c>
    </row>
    <row r="59" spans="2:6" x14ac:dyDescent="0.25">
      <c r="B59" s="113" t="s">
        <v>1073</v>
      </c>
      <c r="C59" s="113" t="s">
        <v>1319</v>
      </c>
      <c r="D59" s="113" t="s">
        <v>1318</v>
      </c>
      <c r="E59" s="113" t="s">
        <v>1309</v>
      </c>
      <c r="F59" s="113" t="s">
        <v>1308</v>
      </c>
    </row>
    <row r="60" spans="2:6" x14ac:dyDescent="0.25">
      <c r="B60" s="113" t="s">
        <v>1073</v>
      </c>
      <c r="C60" s="113" t="s">
        <v>1317</v>
      </c>
      <c r="D60" s="113" t="s">
        <v>1316</v>
      </c>
      <c r="E60" s="113" t="s">
        <v>1309</v>
      </c>
      <c r="F60" s="113" t="s">
        <v>1308</v>
      </c>
    </row>
    <row r="61" spans="2:6" x14ac:dyDescent="0.25">
      <c r="B61" s="113" t="s">
        <v>1073</v>
      </c>
      <c r="C61" s="113" t="s">
        <v>1315</v>
      </c>
      <c r="D61" s="113" t="s">
        <v>1314</v>
      </c>
      <c r="E61" s="113" t="s">
        <v>143</v>
      </c>
      <c r="F61" s="113" t="s">
        <v>1077</v>
      </c>
    </row>
    <row r="62" spans="2:6" x14ac:dyDescent="0.25">
      <c r="B62" s="113" t="s">
        <v>1073</v>
      </c>
      <c r="C62" s="113" t="s">
        <v>1313</v>
      </c>
      <c r="D62" s="113" t="s">
        <v>1312</v>
      </c>
      <c r="E62" s="113" t="s">
        <v>1309</v>
      </c>
      <c r="F62" s="113" t="s">
        <v>1308</v>
      </c>
    </row>
    <row r="63" spans="2:6" x14ac:dyDescent="0.25">
      <c r="B63" s="113" t="s">
        <v>1073</v>
      </c>
      <c r="C63" s="113" t="s">
        <v>1311</v>
      </c>
      <c r="D63" s="113" t="s">
        <v>1310</v>
      </c>
      <c r="E63" s="113" t="s">
        <v>1309</v>
      </c>
      <c r="F63" s="113" t="s">
        <v>1308</v>
      </c>
    </row>
    <row r="64" spans="2:6" x14ac:dyDescent="0.25">
      <c r="B64" s="113" t="s">
        <v>1044</v>
      </c>
      <c r="C64" s="113" t="s">
        <v>170</v>
      </c>
      <c r="D64" s="113" t="s">
        <v>1307</v>
      </c>
      <c r="E64" s="113" t="s">
        <v>1056</v>
      </c>
      <c r="F64" s="113" t="s">
        <v>1045</v>
      </c>
    </row>
    <row r="65" spans="2:6" x14ac:dyDescent="0.25">
      <c r="B65" s="113" t="s">
        <v>1044</v>
      </c>
      <c r="C65" s="113" t="s">
        <v>1306</v>
      </c>
      <c r="D65" s="113" t="s">
        <v>1305</v>
      </c>
      <c r="E65" s="113" t="s">
        <v>1056</v>
      </c>
      <c r="F65" s="113" t="s">
        <v>1045</v>
      </c>
    </row>
    <row r="66" spans="2:6" x14ac:dyDescent="0.25">
      <c r="B66" s="113" t="s">
        <v>1044</v>
      </c>
      <c r="C66" s="113" t="s">
        <v>1304</v>
      </c>
      <c r="D66" s="113" t="s">
        <v>1303</v>
      </c>
      <c r="E66" s="113" t="s">
        <v>1056</v>
      </c>
      <c r="F66" s="113" t="s">
        <v>1045</v>
      </c>
    </row>
    <row r="67" spans="2:6" x14ac:dyDescent="0.25">
      <c r="B67" s="113" t="s">
        <v>1044</v>
      </c>
      <c r="C67" s="113" t="s">
        <v>539</v>
      </c>
      <c r="D67" s="113" t="s">
        <v>1302</v>
      </c>
      <c r="E67" s="113" t="s">
        <v>1056</v>
      </c>
      <c r="F67" s="113" t="s">
        <v>1045</v>
      </c>
    </row>
    <row r="68" spans="2:6" x14ac:dyDescent="0.25">
      <c r="B68" s="113" t="s">
        <v>1044</v>
      </c>
      <c r="C68" s="113" t="s">
        <v>172</v>
      </c>
      <c r="D68" s="113" t="s">
        <v>1301</v>
      </c>
      <c r="E68" s="113" t="s">
        <v>1056</v>
      </c>
      <c r="F68" s="113" t="s">
        <v>1045</v>
      </c>
    </row>
    <row r="69" spans="2:6" x14ac:dyDescent="0.25">
      <c r="B69" s="113" t="s">
        <v>1044</v>
      </c>
      <c r="C69" s="113" t="s">
        <v>1300</v>
      </c>
      <c r="D69" s="113" t="s">
        <v>1299</v>
      </c>
      <c r="E69" s="113" t="s">
        <v>1056</v>
      </c>
      <c r="F69" s="113" t="s">
        <v>1045</v>
      </c>
    </row>
    <row r="70" spans="2:6" x14ac:dyDescent="0.25">
      <c r="B70" s="113" t="s">
        <v>1044</v>
      </c>
      <c r="C70" s="113" t="s">
        <v>1298</v>
      </c>
      <c r="D70" s="113" t="s">
        <v>1297</v>
      </c>
      <c r="E70" s="113" t="s">
        <v>1056</v>
      </c>
      <c r="F70" s="113" t="s">
        <v>1045</v>
      </c>
    </row>
    <row r="71" spans="2:6" x14ac:dyDescent="0.25">
      <c r="B71" s="113" t="s">
        <v>1044</v>
      </c>
      <c r="C71" s="113" t="s">
        <v>1296</v>
      </c>
      <c r="D71" s="113" t="s">
        <v>1295</v>
      </c>
      <c r="E71" s="113" t="s">
        <v>1041</v>
      </c>
      <c r="F71" s="113" t="s">
        <v>1045</v>
      </c>
    </row>
    <row r="72" spans="2:6" x14ac:dyDescent="0.25">
      <c r="B72" s="113" t="s">
        <v>1044</v>
      </c>
      <c r="C72" s="113" t="s">
        <v>175</v>
      </c>
      <c r="D72" s="113" t="s">
        <v>1294</v>
      </c>
      <c r="E72" s="113" t="s">
        <v>1056</v>
      </c>
      <c r="F72" s="113" t="s">
        <v>1045</v>
      </c>
    </row>
    <row r="73" spans="2:6" x14ac:dyDescent="0.25">
      <c r="B73" s="113" t="s">
        <v>1044</v>
      </c>
      <c r="C73" s="113" t="s">
        <v>1293</v>
      </c>
      <c r="D73" s="113" t="s">
        <v>1292</v>
      </c>
      <c r="E73" s="113" t="s">
        <v>1056</v>
      </c>
      <c r="F73" s="113" t="s">
        <v>1045</v>
      </c>
    </row>
    <row r="74" spans="2:6" x14ac:dyDescent="0.25">
      <c r="B74" s="113" t="s">
        <v>1044</v>
      </c>
      <c r="C74" s="113" t="s">
        <v>1291</v>
      </c>
      <c r="D74" s="113" t="s">
        <v>1290</v>
      </c>
      <c r="E74" s="113" t="s">
        <v>1056</v>
      </c>
      <c r="F74" s="113" t="s">
        <v>1045</v>
      </c>
    </row>
    <row r="75" spans="2:6" x14ac:dyDescent="0.25">
      <c r="B75" s="113" t="s">
        <v>1044</v>
      </c>
      <c r="C75" s="113" t="s">
        <v>540</v>
      </c>
      <c r="D75" s="113" t="s">
        <v>1289</v>
      </c>
      <c r="E75" s="113" t="s">
        <v>1056</v>
      </c>
      <c r="F75" s="113" t="s">
        <v>1045</v>
      </c>
    </row>
    <row r="76" spans="2:6" x14ac:dyDescent="0.25">
      <c r="B76" s="113" t="s">
        <v>1044</v>
      </c>
      <c r="C76" s="113" t="s">
        <v>541</v>
      </c>
      <c r="D76" s="113" t="s">
        <v>1288</v>
      </c>
      <c r="E76" s="113" t="s">
        <v>1056</v>
      </c>
      <c r="F76" s="113" t="s">
        <v>1045</v>
      </c>
    </row>
    <row r="77" spans="2:6" x14ac:dyDescent="0.25">
      <c r="B77" s="113" t="s">
        <v>1044</v>
      </c>
      <c r="C77" s="113" t="s">
        <v>179</v>
      </c>
      <c r="D77" s="113" t="s">
        <v>1287</v>
      </c>
      <c r="E77" s="113" t="s">
        <v>1056</v>
      </c>
      <c r="F77" s="113" t="s">
        <v>1045</v>
      </c>
    </row>
    <row r="78" spans="2:6" x14ac:dyDescent="0.25">
      <c r="B78" s="113" t="s">
        <v>1044</v>
      </c>
      <c r="C78" s="113" t="s">
        <v>1286</v>
      </c>
      <c r="D78" s="113" t="s">
        <v>1285</v>
      </c>
      <c r="E78" s="113" t="s">
        <v>1056</v>
      </c>
      <c r="F78" s="113" t="s">
        <v>1045</v>
      </c>
    </row>
    <row r="79" spans="2:6" x14ac:dyDescent="0.25">
      <c r="B79" s="113" t="s">
        <v>1044</v>
      </c>
      <c r="C79" s="113" t="s">
        <v>1284</v>
      </c>
      <c r="D79" s="113" t="s">
        <v>1283</v>
      </c>
      <c r="E79" s="113" t="s">
        <v>1056</v>
      </c>
      <c r="F79" s="113" t="s">
        <v>1045</v>
      </c>
    </row>
    <row r="80" spans="2:6" x14ac:dyDescent="0.25">
      <c r="B80" s="113" t="s">
        <v>1044</v>
      </c>
      <c r="C80" s="113" t="s">
        <v>181</v>
      </c>
      <c r="D80" s="113" t="s">
        <v>1282</v>
      </c>
      <c r="E80" s="113" t="s">
        <v>1056</v>
      </c>
      <c r="F80" s="113" t="s">
        <v>1045</v>
      </c>
    </row>
    <row r="81" spans="2:6" x14ac:dyDescent="0.25">
      <c r="B81" s="113" t="s">
        <v>1044</v>
      </c>
      <c r="C81" s="113" t="s">
        <v>1281</v>
      </c>
      <c r="D81" s="113" t="s">
        <v>1280</v>
      </c>
      <c r="E81" s="113" t="s">
        <v>1056</v>
      </c>
      <c r="F81" s="113" t="s">
        <v>1045</v>
      </c>
    </row>
    <row r="82" spans="2:6" x14ac:dyDescent="0.25">
      <c r="B82" s="113" t="s">
        <v>1044</v>
      </c>
      <c r="C82" s="113" t="s">
        <v>1279</v>
      </c>
      <c r="D82" s="113" t="s">
        <v>1278</v>
      </c>
      <c r="E82" s="113" t="s">
        <v>1056</v>
      </c>
      <c r="F82" s="113" t="s">
        <v>1045</v>
      </c>
    </row>
    <row r="83" spans="2:6" x14ac:dyDescent="0.25">
      <c r="B83" s="113" t="s">
        <v>1044</v>
      </c>
      <c r="C83" s="113" t="s">
        <v>542</v>
      </c>
      <c r="D83" s="113" t="s">
        <v>1277</v>
      </c>
      <c r="E83" s="113" t="s">
        <v>1056</v>
      </c>
      <c r="F83" s="113" t="s">
        <v>1045</v>
      </c>
    </row>
    <row r="84" spans="2:6" x14ac:dyDescent="0.25">
      <c r="B84" s="113" t="s">
        <v>1044</v>
      </c>
      <c r="C84" s="113" t="s">
        <v>1276</v>
      </c>
      <c r="D84" s="113" t="s">
        <v>1275</v>
      </c>
      <c r="E84" s="113" t="s">
        <v>1041</v>
      </c>
      <c r="F84" s="113" t="s">
        <v>1045</v>
      </c>
    </row>
    <row r="85" spans="2:6" x14ac:dyDescent="0.25">
      <c r="B85" s="113" t="s">
        <v>1044</v>
      </c>
      <c r="C85" s="113" t="s">
        <v>1274</v>
      </c>
      <c r="D85" s="113" t="s">
        <v>1273</v>
      </c>
      <c r="E85" s="113" t="s">
        <v>1041</v>
      </c>
      <c r="F85" s="113" t="s">
        <v>1045</v>
      </c>
    </row>
    <row r="86" spans="2:6" x14ac:dyDescent="0.25">
      <c r="B86" s="113" t="s">
        <v>1044</v>
      </c>
      <c r="C86" s="113" t="s">
        <v>1272</v>
      </c>
      <c r="D86" s="113" t="s">
        <v>1271</v>
      </c>
      <c r="E86" s="113" t="s">
        <v>1041</v>
      </c>
      <c r="F86" s="113" t="s">
        <v>1045</v>
      </c>
    </row>
    <row r="87" spans="2:6" x14ac:dyDescent="0.25">
      <c r="B87" s="113" t="s">
        <v>1044</v>
      </c>
      <c r="C87" s="113" t="s">
        <v>1270</v>
      </c>
      <c r="D87" s="113" t="s">
        <v>1269</v>
      </c>
      <c r="E87" s="113" t="s">
        <v>1041</v>
      </c>
      <c r="F87" s="113" t="s">
        <v>1045</v>
      </c>
    </row>
    <row r="88" spans="2:6" x14ac:dyDescent="0.25">
      <c r="B88" s="113" t="s">
        <v>1044</v>
      </c>
      <c r="C88" s="113" t="s">
        <v>1268</v>
      </c>
      <c r="D88" s="113" t="s">
        <v>1267</v>
      </c>
      <c r="E88" s="113" t="s">
        <v>1041</v>
      </c>
      <c r="F88" s="113" t="s">
        <v>1045</v>
      </c>
    </row>
    <row r="89" spans="2:6" x14ac:dyDescent="0.25">
      <c r="B89" s="113" t="s">
        <v>1044</v>
      </c>
      <c r="C89" s="113" t="s">
        <v>1266</v>
      </c>
      <c r="D89" s="113" t="s">
        <v>1265</v>
      </c>
      <c r="E89" s="113" t="s">
        <v>1041</v>
      </c>
      <c r="F89" s="113" t="s">
        <v>1045</v>
      </c>
    </row>
    <row r="90" spans="2:6" x14ac:dyDescent="0.25">
      <c r="B90" s="113" t="s">
        <v>1044</v>
      </c>
      <c r="C90" s="113" t="s">
        <v>1264</v>
      </c>
      <c r="D90" s="113" t="s">
        <v>1263</v>
      </c>
      <c r="E90" s="113" t="s">
        <v>1056</v>
      </c>
      <c r="F90" s="113" t="s">
        <v>1045</v>
      </c>
    </row>
    <row r="91" spans="2:6" x14ac:dyDescent="0.25">
      <c r="B91" s="113" t="s">
        <v>1044</v>
      </c>
      <c r="C91" s="113" t="s">
        <v>1262</v>
      </c>
      <c r="D91" s="113" t="s">
        <v>1261</v>
      </c>
      <c r="E91" s="113" t="s">
        <v>1041</v>
      </c>
      <c r="F91" s="113" t="s">
        <v>1045</v>
      </c>
    </row>
    <row r="92" spans="2:6" x14ac:dyDescent="0.25">
      <c r="B92" s="113" t="s">
        <v>1260</v>
      </c>
      <c r="C92" s="113" t="s">
        <v>1101</v>
      </c>
      <c r="D92" s="113" t="s">
        <v>1259</v>
      </c>
      <c r="F92" s="113" t="s">
        <v>1258</v>
      </c>
    </row>
    <row r="93" spans="2:6" x14ac:dyDescent="0.25">
      <c r="B93" s="113" t="s">
        <v>1073</v>
      </c>
      <c r="C93" s="113" t="s">
        <v>1550</v>
      </c>
      <c r="D93" s="113" t="s">
        <v>1552</v>
      </c>
      <c r="E93" t="s">
        <v>902</v>
      </c>
      <c r="F93" t="s">
        <v>1551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75C4E-BF69-4D73-95FD-31088F8EF17A}">
  <sheetPr>
    <tabColor theme="0" tint="-0.34998626667073579"/>
  </sheetPr>
  <dimension ref="A1:AV301"/>
  <sheetViews>
    <sheetView topLeftCell="A271" zoomScale="85" zoomScaleNormal="85" workbookViewId="0">
      <selection activeCell="K312" sqref="K312"/>
    </sheetView>
  </sheetViews>
  <sheetFormatPr defaultColWidth="10.28515625" defaultRowHeight="15" x14ac:dyDescent="0.25"/>
  <cols>
    <col min="1" max="1" width="8.28515625" style="113" bestFit="1" customWidth="1"/>
    <col min="2" max="2" width="15.5703125" style="113" customWidth="1"/>
    <col min="3" max="3" width="25.42578125" style="113" customWidth="1"/>
    <col min="4" max="4" width="10" style="113" customWidth="1"/>
    <col min="5" max="5" width="21.42578125" style="113" customWidth="1"/>
    <col min="6" max="6" width="14.5703125" style="113" bestFit="1" customWidth="1"/>
    <col min="7" max="7" width="8.5703125" style="113" bestFit="1" customWidth="1"/>
    <col min="8" max="8" width="3.42578125" style="113" bestFit="1" customWidth="1"/>
    <col min="9" max="9" width="2.5703125" style="113" bestFit="1" customWidth="1"/>
    <col min="10" max="10" width="9.28515625" style="113" bestFit="1" customWidth="1"/>
    <col min="11" max="11" width="18" style="113" bestFit="1" customWidth="1"/>
    <col min="12" max="13" width="10.5703125" style="113" bestFit="1" customWidth="1"/>
    <col min="14" max="14" width="17.7109375" style="113" customWidth="1"/>
    <col min="15" max="18" width="10.5703125" style="113" bestFit="1" customWidth="1"/>
    <col min="19" max="22" width="8.42578125" style="113" bestFit="1" customWidth="1"/>
    <col min="23" max="23" width="6.28515625" style="113" bestFit="1" customWidth="1"/>
    <col min="24" max="27" width="8.42578125" style="113" bestFit="1" customWidth="1"/>
    <col min="28" max="37" width="6.7109375" style="113" bestFit="1" customWidth="1"/>
    <col min="38" max="39" width="8.28515625" style="113" bestFit="1" customWidth="1"/>
    <col min="40" max="40" width="8.7109375" style="113" bestFit="1" customWidth="1"/>
    <col min="41" max="49" width="6.7109375" style="113" bestFit="1" customWidth="1"/>
    <col min="50" max="16384" width="10.28515625" style="113"/>
  </cols>
  <sheetData>
    <row r="1" spans="1:41" x14ac:dyDescent="0.25">
      <c r="A1" s="113" t="s">
        <v>1515</v>
      </c>
      <c r="B1" s="113" t="s">
        <v>1084</v>
      </c>
    </row>
    <row r="2" spans="1:41" x14ac:dyDescent="0.25">
      <c r="A2" s="113" t="s">
        <v>1052</v>
      </c>
      <c r="J2" s="113">
        <v>2012</v>
      </c>
      <c r="K2" s="113">
        <v>2013</v>
      </c>
      <c r="L2" s="113">
        <v>2014</v>
      </c>
      <c r="M2" s="113">
        <v>2015</v>
      </c>
      <c r="N2" s="113">
        <v>2016</v>
      </c>
      <c r="O2" s="113">
        <v>2017</v>
      </c>
      <c r="P2" s="113">
        <v>2018</v>
      </c>
      <c r="Q2" s="113">
        <v>2019</v>
      </c>
      <c r="R2" s="113">
        <v>2020</v>
      </c>
      <c r="S2" s="113">
        <v>2021</v>
      </c>
      <c r="T2" s="113">
        <v>2022</v>
      </c>
      <c r="U2" s="113">
        <v>2023</v>
      </c>
      <c r="V2" s="113">
        <v>2024</v>
      </c>
      <c r="W2" s="113">
        <v>2025</v>
      </c>
      <c r="X2" s="113">
        <v>2026</v>
      </c>
      <c r="Y2" s="113">
        <v>2027</v>
      </c>
      <c r="Z2" s="113">
        <v>2028</v>
      </c>
      <c r="AA2" s="113">
        <v>2029</v>
      </c>
      <c r="AB2" s="113">
        <v>2030</v>
      </c>
      <c r="AC2" s="113">
        <v>2031</v>
      </c>
      <c r="AD2" s="113">
        <v>2032</v>
      </c>
      <c r="AE2" s="113">
        <v>2033</v>
      </c>
      <c r="AF2" s="113">
        <v>2034</v>
      </c>
      <c r="AG2" s="113">
        <v>2035</v>
      </c>
      <c r="AH2" s="113">
        <v>2036</v>
      </c>
      <c r="AI2" s="113">
        <v>2037</v>
      </c>
      <c r="AJ2" s="113">
        <v>2038</v>
      </c>
      <c r="AK2" s="113">
        <v>2039</v>
      </c>
      <c r="AL2" s="113">
        <v>2040</v>
      </c>
      <c r="AM2" s="113">
        <v>2045</v>
      </c>
      <c r="AN2" s="113">
        <v>2050</v>
      </c>
      <c r="AO2" s="113">
        <v>2060</v>
      </c>
    </row>
    <row r="3" spans="1:41" x14ac:dyDescent="0.25">
      <c r="B3" s="113" t="s">
        <v>917</v>
      </c>
      <c r="C3" s="113" t="s">
        <v>170</v>
      </c>
      <c r="D3" s="113" t="s">
        <v>707</v>
      </c>
      <c r="E3" s="113" t="s">
        <v>707</v>
      </c>
      <c r="F3" s="113" t="s">
        <v>707</v>
      </c>
      <c r="G3" s="113" t="s">
        <v>707</v>
      </c>
      <c r="H3" s="113" t="s">
        <v>707</v>
      </c>
      <c r="I3" s="113">
        <v>0</v>
      </c>
      <c r="J3" s="620">
        <f>'Iron &amp; Steel'!O89</f>
        <v>3160.9164837865528</v>
      </c>
    </row>
    <row r="4" spans="1:41" x14ac:dyDescent="0.25">
      <c r="B4" s="113" t="s">
        <v>917</v>
      </c>
      <c r="C4" s="113" t="s">
        <v>1306</v>
      </c>
      <c r="D4" s="113" t="s">
        <v>707</v>
      </c>
      <c r="E4" s="113" t="s">
        <v>707</v>
      </c>
      <c r="F4" s="113" t="s">
        <v>707</v>
      </c>
      <c r="G4" s="113" t="s">
        <v>707</v>
      </c>
      <c r="H4" s="113" t="s">
        <v>707</v>
      </c>
      <c r="I4" s="113">
        <v>0</v>
      </c>
      <c r="J4" s="620">
        <f>'Iron &amp; Steel'!O90</f>
        <v>3160.9164837865528</v>
      </c>
    </row>
    <row r="5" spans="1:41" x14ac:dyDescent="0.25">
      <c r="B5" s="113" t="s">
        <v>917</v>
      </c>
      <c r="C5" s="113" t="s">
        <v>1304</v>
      </c>
      <c r="D5" s="113" t="s">
        <v>707</v>
      </c>
      <c r="E5" s="113" t="s">
        <v>707</v>
      </c>
      <c r="F5" s="113" t="s">
        <v>707</v>
      </c>
      <c r="G5" s="113" t="s">
        <v>707</v>
      </c>
      <c r="H5" s="113" t="s">
        <v>707</v>
      </c>
      <c r="I5" s="113">
        <v>0</v>
      </c>
      <c r="J5" s="620">
        <f>'Iron &amp; Steel'!O91</f>
        <v>3160.9164837865528</v>
      </c>
    </row>
    <row r="6" spans="1:41" x14ac:dyDescent="0.25">
      <c r="B6" s="113" t="s">
        <v>917</v>
      </c>
      <c r="C6" s="113" t="s">
        <v>539</v>
      </c>
      <c r="D6" s="113" t="s">
        <v>707</v>
      </c>
      <c r="E6" s="113" t="s">
        <v>707</v>
      </c>
      <c r="F6" s="113" t="s">
        <v>707</v>
      </c>
      <c r="G6" s="113" t="s">
        <v>707</v>
      </c>
      <c r="H6" s="113" t="s">
        <v>707</v>
      </c>
      <c r="I6" s="113">
        <v>0</v>
      </c>
      <c r="J6" s="620">
        <f>'Iron &amp; Steel'!O92</f>
        <v>3160.9164837865528</v>
      </c>
    </row>
    <row r="7" spans="1:41" x14ac:dyDescent="0.25">
      <c r="B7" s="113" t="s">
        <v>917</v>
      </c>
      <c r="C7" s="113" t="s">
        <v>172</v>
      </c>
      <c r="D7" s="113" t="s">
        <v>707</v>
      </c>
      <c r="E7" s="113" t="s">
        <v>707</v>
      </c>
      <c r="F7" s="113" t="s">
        <v>707</v>
      </c>
      <c r="G7" s="113" t="s">
        <v>707</v>
      </c>
      <c r="H7" s="113" t="s">
        <v>707</v>
      </c>
      <c r="I7" s="113">
        <v>0</v>
      </c>
      <c r="J7" s="620">
        <f>'Iron &amp; Steel'!O93</f>
        <v>4030.364928374072</v>
      </c>
    </row>
    <row r="8" spans="1:41" x14ac:dyDescent="0.25">
      <c r="B8" s="113" t="s">
        <v>917</v>
      </c>
      <c r="C8" s="113" t="s">
        <v>1300</v>
      </c>
      <c r="D8" s="113" t="s">
        <v>707</v>
      </c>
      <c r="E8" s="113" t="s">
        <v>707</v>
      </c>
      <c r="F8" s="113" t="s">
        <v>707</v>
      </c>
      <c r="G8" s="113" t="s">
        <v>707</v>
      </c>
      <c r="H8" s="113" t="s">
        <v>707</v>
      </c>
      <c r="I8" s="113">
        <v>0</v>
      </c>
      <c r="J8" s="620">
        <f>'Iron &amp; Steel'!O94</f>
        <v>4030.364928374072</v>
      </c>
    </row>
    <row r="9" spans="1:41" x14ac:dyDescent="0.25">
      <c r="B9" s="113" t="s">
        <v>917</v>
      </c>
      <c r="C9" s="113" t="s">
        <v>1298</v>
      </c>
      <c r="D9" s="113" t="s">
        <v>707</v>
      </c>
      <c r="E9" s="113" t="s">
        <v>707</v>
      </c>
      <c r="F9" s="113" t="s">
        <v>707</v>
      </c>
      <c r="G9" s="113" t="s">
        <v>707</v>
      </c>
      <c r="H9" s="113" t="s">
        <v>707</v>
      </c>
      <c r="I9" s="113">
        <v>0</v>
      </c>
      <c r="J9" s="620">
        <f>'Iron &amp; Steel'!O95</f>
        <v>4030.364928374072</v>
      </c>
    </row>
    <row r="10" spans="1:41" x14ac:dyDescent="0.25">
      <c r="B10" s="113" t="s">
        <v>917</v>
      </c>
      <c r="C10" s="113" t="s">
        <v>1296</v>
      </c>
      <c r="D10" s="113" t="s">
        <v>707</v>
      </c>
      <c r="E10" s="113" t="s">
        <v>707</v>
      </c>
      <c r="F10" s="113" t="s">
        <v>707</v>
      </c>
      <c r="G10" s="113" t="s">
        <v>707</v>
      </c>
      <c r="H10" s="113" t="s">
        <v>707</v>
      </c>
      <c r="I10" s="113">
        <v>0</v>
      </c>
      <c r="J10" s="620">
        <f>'Iron &amp; Steel'!O96</f>
        <v>61.378608192831265</v>
      </c>
    </row>
    <row r="11" spans="1:41" x14ac:dyDescent="0.25">
      <c r="B11" s="113" t="s">
        <v>917</v>
      </c>
      <c r="C11" s="113" t="s">
        <v>175</v>
      </c>
      <c r="D11" s="113" t="s">
        <v>707</v>
      </c>
      <c r="E11" s="113" t="s">
        <v>707</v>
      </c>
      <c r="F11" s="113" t="s">
        <v>707</v>
      </c>
      <c r="G11" s="113" t="s">
        <v>707</v>
      </c>
      <c r="H11" s="113" t="s">
        <v>707</v>
      </c>
      <c r="I11" s="113">
        <v>0</v>
      </c>
      <c r="J11" s="620">
        <f>'Iron &amp; Steel'!O97</f>
        <v>4030.364928374072</v>
      </c>
    </row>
    <row r="12" spans="1:41" x14ac:dyDescent="0.25">
      <c r="B12" s="113" t="s">
        <v>917</v>
      </c>
      <c r="C12" s="113" t="s">
        <v>1293</v>
      </c>
      <c r="D12" s="113" t="s">
        <v>707</v>
      </c>
      <c r="E12" s="113" t="s">
        <v>707</v>
      </c>
      <c r="F12" s="113" t="s">
        <v>707</v>
      </c>
      <c r="G12" s="113" t="s">
        <v>707</v>
      </c>
      <c r="H12" s="113" t="s">
        <v>707</v>
      </c>
      <c r="I12" s="113">
        <v>0</v>
      </c>
      <c r="J12" s="620">
        <f>'Iron &amp; Steel'!O98</f>
        <v>4030.364928374072</v>
      </c>
    </row>
    <row r="13" spans="1:41" x14ac:dyDescent="0.25">
      <c r="B13" s="113" t="s">
        <v>917</v>
      </c>
      <c r="C13" s="113" t="s">
        <v>1291</v>
      </c>
      <c r="D13" s="113" t="s">
        <v>707</v>
      </c>
      <c r="E13" s="113" t="s">
        <v>707</v>
      </c>
      <c r="F13" s="113" t="s">
        <v>707</v>
      </c>
      <c r="G13" s="113" t="s">
        <v>707</v>
      </c>
      <c r="H13" s="113" t="s">
        <v>707</v>
      </c>
      <c r="I13" s="113">
        <v>0</v>
      </c>
      <c r="J13" s="620">
        <f>'Iron &amp; Steel'!O99</f>
        <v>4030.364928374072</v>
      </c>
    </row>
    <row r="14" spans="1:41" x14ac:dyDescent="0.25">
      <c r="B14" s="113" t="s">
        <v>917</v>
      </c>
      <c r="C14" s="113" t="s">
        <v>540</v>
      </c>
      <c r="D14" s="113" t="s">
        <v>707</v>
      </c>
      <c r="E14" s="113" t="s">
        <v>707</v>
      </c>
      <c r="F14" s="113" t="s">
        <v>707</v>
      </c>
      <c r="G14" s="113" t="s">
        <v>707</v>
      </c>
      <c r="H14" s="113" t="s">
        <v>707</v>
      </c>
      <c r="I14" s="113">
        <v>0</v>
      </c>
      <c r="J14" s="620">
        <f>'Iron &amp; Steel'!O100</f>
        <v>4030.364928374072</v>
      </c>
    </row>
    <row r="15" spans="1:41" x14ac:dyDescent="0.25">
      <c r="B15" s="113" t="s">
        <v>917</v>
      </c>
      <c r="C15" s="113" t="s">
        <v>541</v>
      </c>
      <c r="D15" s="113" t="s">
        <v>707</v>
      </c>
      <c r="E15" s="113" t="s">
        <v>707</v>
      </c>
      <c r="F15" s="113" t="s">
        <v>707</v>
      </c>
      <c r="G15" s="113" t="s">
        <v>707</v>
      </c>
      <c r="H15" s="113" t="s">
        <v>707</v>
      </c>
      <c r="I15" s="113">
        <v>0</v>
      </c>
      <c r="J15" s="620">
        <f>'Iron &amp; Steel'!O101</f>
        <v>4730.8994432149193</v>
      </c>
    </row>
    <row r="16" spans="1:41" x14ac:dyDescent="0.25">
      <c r="B16" s="113" t="s">
        <v>917</v>
      </c>
      <c r="C16" s="113" t="s">
        <v>179</v>
      </c>
      <c r="D16" s="113" t="s">
        <v>707</v>
      </c>
      <c r="E16" s="113" t="s">
        <v>707</v>
      </c>
      <c r="F16" s="113" t="s">
        <v>707</v>
      </c>
      <c r="G16" s="113" t="s">
        <v>707</v>
      </c>
      <c r="H16" s="113" t="s">
        <v>707</v>
      </c>
      <c r="I16" s="113">
        <v>0</v>
      </c>
      <c r="J16" s="620">
        <f>'Iron &amp; Steel'!O102</f>
        <v>4030.364928374072</v>
      </c>
    </row>
    <row r="17" spans="2:18" x14ac:dyDescent="0.25">
      <c r="B17" s="113" t="s">
        <v>917</v>
      </c>
      <c r="C17" s="113" t="s">
        <v>1286</v>
      </c>
      <c r="D17" s="113" t="s">
        <v>707</v>
      </c>
      <c r="E17" s="113" t="s">
        <v>707</v>
      </c>
      <c r="F17" s="113" t="s">
        <v>707</v>
      </c>
      <c r="G17" s="113" t="s">
        <v>707</v>
      </c>
      <c r="H17" s="113" t="s">
        <v>707</v>
      </c>
      <c r="I17" s="113">
        <v>0</v>
      </c>
      <c r="J17" s="620">
        <f>'Iron &amp; Steel'!O103</f>
        <v>4030.364928374072</v>
      </c>
    </row>
    <row r="18" spans="2:18" x14ac:dyDescent="0.25">
      <c r="B18" s="113" t="s">
        <v>917</v>
      </c>
      <c r="C18" s="113" t="s">
        <v>1284</v>
      </c>
      <c r="D18" s="113" t="s">
        <v>707</v>
      </c>
      <c r="E18" s="113" t="s">
        <v>707</v>
      </c>
      <c r="F18" s="113" t="s">
        <v>707</v>
      </c>
      <c r="G18" s="113" t="s">
        <v>707</v>
      </c>
      <c r="H18" s="113" t="s">
        <v>707</v>
      </c>
      <c r="I18" s="113">
        <v>0</v>
      </c>
      <c r="J18" s="620">
        <f>'Iron &amp; Steel'!O104</f>
        <v>4030.364928374072</v>
      </c>
    </row>
    <row r="19" spans="2:18" x14ac:dyDescent="0.25">
      <c r="B19" s="113" t="s">
        <v>917</v>
      </c>
      <c r="C19" s="113" t="s">
        <v>181</v>
      </c>
      <c r="D19" s="113" t="s">
        <v>707</v>
      </c>
      <c r="E19" s="113" t="s">
        <v>707</v>
      </c>
      <c r="F19" s="113" t="s">
        <v>707</v>
      </c>
      <c r="G19" s="113" t="s">
        <v>707</v>
      </c>
      <c r="H19" s="113" t="s">
        <v>707</v>
      </c>
      <c r="I19" s="113">
        <v>0</v>
      </c>
      <c r="J19" s="620">
        <f>'Iron &amp; Steel'!O105</f>
        <v>4352.4798641700509</v>
      </c>
    </row>
    <row r="20" spans="2:18" x14ac:dyDescent="0.25">
      <c r="B20" s="113" t="s">
        <v>917</v>
      </c>
      <c r="C20" s="113" t="s">
        <v>1281</v>
      </c>
      <c r="D20" s="113" t="s">
        <v>707</v>
      </c>
      <c r="E20" s="113" t="s">
        <v>707</v>
      </c>
      <c r="F20" s="113" t="s">
        <v>707</v>
      </c>
      <c r="G20" s="113" t="s">
        <v>707</v>
      </c>
      <c r="H20" s="113" t="s">
        <v>707</v>
      </c>
      <c r="I20" s="113">
        <v>0</v>
      </c>
      <c r="J20" s="620">
        <f>'Iron &amp; Steel'!O106</f>
        <v>4352.4798641700509</v>
      </c>
    </row>
    <row r="21" spans="2:18" x14ac:dyDescent="0.25">
      <c r="B21" s="113" t="s">
        <v>917</v>
      </c>
      <c r="C21" s="113" t="s">
        <v>1279</v>
      </c>
      <c r="D21" s="113" t="s">
        <v>707</v>
      </c>
      <c r="E21" s="113" t="s">
        <v>707</v>
      </c>
      <c r="F21" s="113" t="s">
        <v>707</v>
      </c>
      <c r="G21" s="113" t="s">
        <v>707</v>
      </c>
      <c r="H21" s="113" t="s">
        <v>707</v>
      </c>
      <c r="I21" s="113">
        <v>0</v>
      </c>
      <c r="J21" s="620">
        <f>'Iron &amp; Steel'!O107</f>
        <v>4352.4798641700509</v>
      </c>
    </row>
    <row r="22" spans="2:18" x14ac:dyDescent="0.25">
      <c r="B22" s="113" t="s">
        <v>917</v>
      </c>
      <c r="C22" s="113" t="s">
        <v>542</v>
      </c>
      <c r="D22" s="113" t="s">
        <v>707</v>
      </c>
      <c r="E22" s="113" t="s">
        <v>707</v>
      </c>
      <c r="F22" s="113" t="s">
        <v>707</v>
      </c>
      <c r="G22" s="113" t="s">
        <v>707</v>
      </c>
      <c r="H22" s="113" t="s">
        <v>707</v>
      </c>
      <c r="I22" s="113">
        <v>0</v>
      </c>
      <c r="J22" s="620">
        <f>'Iron &amp; Steel'!O108</f>
        <v>4352.4798641700509</v>
      </c>
    </row>
    <row r="23" spans="2:18" x14ac:dyDescent="0.25">
      <c r="B23" s="113" t="s">
        <v>917</v>
      </c>
      <c r="C23" s="113" t="s">
        <v>1264</v>
      </c>
      <c r="D23" s="113" t="s">
        <v>707</v>
      </c>
      <c r="E23" s="113" t="s">
        <v>707</v>
      </c>
      <c r="F23" s="113" t="s">
        <v>707</v>
      </c>
      <c r="G23" s="113" t="s">
        <v>707</v>
      </c>
      <c r="H23" s="113" t="s">
        <v>707</v>
      </c>
      <c r="I23" s="113">
        <v>0</v>
      </c>
      <c r="J23" s="620">
        <f>'Iron &amp; Steel'!O109</f>
        <v>0</v>
      </c>
    </row>
    <row r="24" spans="2:18" x14ac:dyDescent="0.25">
      <c r="B24" s="620" t="s">
        <v>1456</v>
      </c>
      <c r="C24" s="620" t="s">
        <v>707</v>
      </c>
      <c r="D24" s="620" t="s">
        <v>42</v>
      </c>
      <c r="E24" s="620" t="s">
        <v>707</v>
      </c>
      <c r="F24" s="620" t="s">
        <v>707</v>
      </c>
      <c r="G24" s="620" t="s">
        <v>707</v>
      </c>
      <c r="H24" s="620" t="s">
        <v>707</v>
      </c>
      <c r="I24" s="620">
        <v>0</v>
      </c>
      <c r="J24" s="620">
        <f>'Iron &amp; Steel'!K18</f>
        <v>6.94</v>
      </c>
      <c r="K24" s="621">
        <f>'Iron &amp; Steel'!AG18</f>
        <v>7.1000000000000005</v>
      </c>
      <c r="L24" s="621">
        <f>'Iron &amp; Steel'!AH18</f>
        <v>6.5</v>
      </c>
      <c r="M24" s="621">
        <f>'Iron &amp; Steel'!AI18</f>
        <v>6.4000000000000012</v>
      </c>
      <c r="N24" s="621">
        <f>'Iron &amp; Steel'!AJ18</f>
        <v>6.0910000000000002</v>
      </c>
      <c r="O24" s="621">
        <f>'Iron &amp; Steel'!AK18</f>
        <v>6.23</v>
      </c>
      <c r="P24" s="621">
        <f>'Iron &amp; Steel'!AL18</f>
        <v>6.3</v>
      </c>
      <c r="Q24" s="621">
        <f>'Iron &amp; Steel'!AM18</f>
        <v>6.1267974837582679</v>
      </c>
      <c r="R24" s="621">
        <f>'Iron &amp; Steel'!AN18</f>
        <v>5.0030232389251985</v>
      </c>
    </row>
    <row r="25" spans="2:18" x14ac:dyDescent="0.25">
      <c r="B25" s="113" t="s">
        <v>926</v>
      </c>
      <c r="C25" s="113" t="s">
        <v>1276</v>
      </c>
      <c r="D25" s="113" t="s">
        <v>707</v>
      </c>
      <c r="E25" s="113" t="s">
        <v>1090</v>
      </c>
      <c r="F25" s="113" t="s">
        <v>707</v>
      </c>
      <c r="G25" s="113" t="s">
        <v>1101</v>
      </c>
      <c r="H25" s="113" t="s">
        <v>707</v>
      </c>
      <c r="I25" s="113">
        <v>0</v>
      </c>
      <c r="J25" s="113">
        <v>1</v>
      </c>
    </row>
    <row r="26" spans="2:18" x14ac:dyDescent="0.25">
      <c r="B26" s="113" t="s">
        <v>926</v>
      </c>
      <c r="C26" s="113" t="s">
        <v>1274</v>
      </c>
      <c r="D26" s="113" t="s">
        <v>707</v>
      </c>
      <c r="E26" s="113" t="s">
        <v>1090</v>
      </c>
      <c r="F26" s="113" t="s">
        <v>707</v>
      </c>
      <c r="G26" s="113" t="s">
        <v>1101</v>
      </c>
      <c r="H26" s="113" t="s">
        <v>707</v>
      </c>
      <c r="I26" s="113">
        <v>0</v>
      </c>
      <c r="J26" s="113">
        <v>1</v>
      </c>
    </row>
    <row r="27" spans="2:18" x14ac:dyDescent="0.25">
      <c r="B27" s="113" t="s">
        <v>926</v>
      </c>
      <c r="C27" s="113" t="s">
        <v>1272</v>
      </c>
      <c r="D27" s="113" t="s">
        <v>707</v>
      </c>
      <c r="E27" s="113" t="s">
        <v>1090</v>
      </c>
      <c r="F27" s="113" t="s">
        <v>707</v>
      </c>
      <c r="G27" s="113" t="s">
        <v>1101</v>
      </c>
      <c r="H27" s="113" t="s">
        <v>707</v>
      </c>
      <c r="I27" s="113">
        <v>0</v>
      </c>
      <c r="J27" s="113">
        <v>1</v>
      </c>
    </row>
    <row r="28" spans="2:18" x14ac:dyDescent="0.25">
      <c r="B28" s="113" t="s">
        <v>926</v>
      </c>
      <c r="C28" s="113" t="s">
        <v>1270</v>
      </c>
      <c r="D28" s="113" t="s">
        <v>707</v>
      </c>
      <c r="E28" s="113" t="s">
        <v>1090</v>
      </c>
      <c r="F28" s="113" t="s">
        <v>707</v>
      </c>
      <c r="G28" s="113" t="s">
        <v>1101</v>
      </c>
      <c r="H28" s="113" t="s">
        <v>707</v>
      </c>
      <c r="I28" s="113">
        <v>0</v>
      </c>
      <c r="J28" s="113">
        <v>1</v>
      </c>
    </row>
    <row r="29" spans="2:18" x14ac:dyDescent="0.25">
      <c r="B29" s="113" t="s">
        <v>926</v>
      </c>
      <c r="C29" s="113" t="s">
        <v>1268</v>
      </c>
      <c r="D29" s="113" t="s">
        <v>707</v>
      </c>
      <c r="E29" s="113" t="s">
        <v>1090</v>
      </c>
      <c r="F29" s="113" t="s">
        <v>707</v>
      </c>
      <c r="G29" s="113" t="s">
        <v>1101</v>
      </c>
      <c r="H29" s="113" t="s">
        <v>707</v>
      </c>
      <c r="I29" s="113">
        <v>0</v>
      </c>
      <c r="J29" s="113">
        <v>1</v>
      </c>
    </row>
    <row r="30" spans="2:18" x14ac:dyDescent="0.25">
      <c r="B30" s="113" t="s">
        <v>926</v>
      </c>
      <c r="C30" s="113" t="s">
        <v>1266</v>
      </c>
      <c r="D30" s="113" t="s">
        <v>707</v>
      </c>
      <c r="E30" s="113" t="s">
        <v>1090</v>
      </c>
      <c r="F30" s="113" t="s">
        <v>707</v>
      </c>
      <c r="G30" s="113" t="s">
        <v>1101</v>
      </c>
      <c r="H30" s="113" t="s">
        <v>707</v>
      </c>
      <c r="I30" s="113">
        <v>0</v>
      </c>
      <c r="J30" s="113">
        <v>1</v>
      </c>
    </row>
    <row r="31" spans="2:18" x14ac:dyDescent="0.25">
      <c r="B31" s="113" t="s">
        <v>926</v>
      </c>
      <c r="C31" s="113" t="s">
        <v>1262</v>
      </c>
      <c r="D31" s="113" t="s">
        <v>707</v>
      </c>
      <c r="E31" s="113" t="s">
        <v>1090</v>
      </c>
      <c r="F31" s="113" t="s">
        <v>707</v>
      </c>
      <c r="G31" s="113" t="s">
        <v>1101</v>
      </c>
      <c r="H31" s="113" t="s">
        <v>707</v>
      </c>
      <c r="I31" s="113">
        <v>0</v>
      </c>
      <c r="J31" s="113">
        <v>1</v>
      </c>
    </row>
    <row r="32" spans="2:18" x14ac:dyDescent="0.25">
      <c r="B32" s="113" t="s">
        <v>1455</v>
      </c>
      <c r="C32" s="113" t="s">
        <v>1296</v>
      </c>
      <c r="D32" s="113" t="s">
        <v>1454</v>
      </c>
      <c r="E32" s="113" t="s">
        <v>1090</v>
      </c>
      <c r="F32" s="113" t="s">
        <v>707</v>
      </c>
      <c r="G32" s="113" t="s">
        <v>1101</v>
      </c>
      <c r="H32" s="113" t="s">
        <v>707</v>
      </c>
      <c r="I32" s="113">
        <v>0</v>
      </c>
      <c r="J32" s="113">
        <v>17.329999999999998</v>
      </c>
    </row>
    <row r="33" spans="2:28" x14ac:dyDescent="0.25">
      <c r="B33" s="113" t="s">
        <v>1455</v>
      </c>
      <c r="C33" s="113" t="s">
        <v>170</v>
      </c>
      <c r="D33" s="113" t="s">
        <v>1454</v>
      </c>
      <c r="E33" s="113" t="s">
        <v>1090</v>
      </c>
      <c r="F33" s="113" t="s">
        <v>707</v>
      </c>
      <c r="G33" s="113" t="s">
        <v>1101</v>
      </c>
      <c r="H33" s="113" t="s">
        <v>707</v>
      </c>
      <c r="I33" s="113">
        <v>0</v>
      </c>
      <c r="J33" s="626">
        <v>2810</v>
      </c>
    </row>
    <row r="34" spans="2:28" x14ac:dyDescent="0.25">
      <c r="B34" s="113" t="s">
        <v>1455</v>
      </c>
      <c r="C34" s="555" t="s">
        <v>539</v>
      </c>
      <c r="D34" s="113" t="s">
        <v>1454</v>
      </c>
      <c r="E34" s="113" t="s">
        <v>1090</v>
      </c>
      <c r="F34" s="113" t="s">
        <v>707</v>
      </c>
      <c r="G34" s="113" t="s">
        <v>1101</v>
      </c>
      <c r="H34" s="113" t="s">
        <v>707</v>
      </c>
      <c r="I34" s="113">
        <v>0</v>
      </c>
      <c r="J34" s="626">
        <v>2810</v>
      </c>
    </row>
    <row r="35" spans="2:28" x14ac:dyDescent="0.25">
      <c r="B35" s="113" t="s">
        <v>1455</v>
      </c>
      <c r="C35" s="555" t="s">
        <v>172</v>
      </c>
      <c r="D35" s="113" t="s">
        <v>1454</v>
      </c>
      <c r="E35" s="113" t="s">
        <v>1090</v>
      </c>
      <c r="F35" s="113" t="s">
        <v>707</v>
      </c>
      <c r="G35" s="113" t="s">
        <v>1101</v>
      </c>
      <c r="H35" s="113" t="s">
        <v>707</v>
      </c>
      <c r="I35" s="113">
        <v>0</v>
      </c>
      <c r="J35" s="626">
        <v>2126.7142857142858</v>
      </c>
    </row>
    <row r="36" spans="2:28" x14ac:dyDescent="0.25">
      <c r="B36" s="113" t="s">
        <v>1455</v>
      </c>
      <c r="C36" s="555" t="s">
        <v>175</v>
      </c>
      <c r="D36" s="113" t="s">
        <v>1454</v>
      </c>
      <c r="E36" s="113" t="s">
        <v>1090</v>
      </c>
      <c r="F36" s="113" t="s">
        <v>707</v>
      </c>
      <c r="G36" s="113" t="s">
        <v>1101</v>
      </c>
      <c r="H36" s="113" t="s">
        <v>707</v>
      </c>
      <c r="I36" s="113">
        <v>0</v>
      </c>
      <c r="J36" s="626">
        <v>1605</v>
      </c>
    </row>
    <row r="37" spans="2:28" x14ac:dyDescent="0.25">
      <c r="B37" s="113" t="s">
        <v>1455</v>
      </c>
      <c r="C37" s="113" t="s">
        <v>540</v>
      </c>
      <c r="D37" s="113" t="s">
        <v>1454</v>
      </c>
      <c r="E37" s="113" t="s">
        <v>1090</v>
      </c>
      <c r="F37" s="113" t="s">
        <v>707</v>
      </c>
      <c r="G37" s="113" t="s">
        <v>1101</v>
      </c>
      <c r="H37" s="113" t="s">
        <v>707</v>
      </c>
      <c r="I37" s="113">
        <v>0</v>
      </c>
      <c r="J37" s="626">
        <v>1605</v>
      </c>
    </row>
    <row r="38" spans="2:28" x14ac:dyDescent="0.25">
      <c r="B38" s="113" t="s">
        <v>1455</v>
      </c>
      <c r="C38" s="113" t="s">
        <v>541</v>
      </c>
      <c r="D38" s="113" t="s">
        <v>1454</v>
      </c>
      <c r="E38" s="113" t="s">
        <v>1090</v>
      </c>
      <c r="F38" s="113" t="s">
        <v>707</v>
      </c>
      <c r="G38" s="113" t="s">
        <v>1101</v>
      </c>
      <c r="H38" s="113" t="s">
        <v>707</v>
      </c>
      <c r="I38" s="113">
        <v>0</v>
      </c>
      <c r="J38" s="626">
        <v>1605</v>
      </c>
    </row>
    <row r="39" spans="2:28" x14ac:dyDescent="0.25">
      <c r="B39" s="113" t="s">
        <v>1455</v>
      </c>
      <c r="C39" s="555" t="s">
        <v>179</v>
      </c>
      <c r="D39" s="113" t="s">
        <v>1454</v>
      </c>
      <c r="E39" s="113" t="s">
        <v>1090</v>
      </c>
      <c r="F39" s="113" t="s">
        <v>707</v>
      </c>
      <c r="G39" s="113" t="s">
        <v>1101</v>
      </c>
      <c r="H39" s="113" t="s">
        <v>707</v>
      </c>
      <c r="I39" s="113">
        <v>0</v>
      </c>
      <c r="J39" s="626">
        <v>1540</v>
      </c>
    </row>
    <row r="40" spans="2:28" x14ac:dyDescent="0.25">
      <c r="B40" s="113" t="s">
        <v>1455</v>
      </c>
      <c r="C40" s="555" t="s">
        <v>181</v>
      </c>
      <c r="D40" s="113" t="s">
        <v>1454</v>
      </c>
      <c r="E40" s="113" t="s">
        <v>1090</v>
      </c>
      <c r="F40" s="113" t="s">
        <v>707</v>
      </c>
      <c r="G40" s="113" t="s">
        <v>1101</v>
      </c>
      <c r="H40" s="113" t="s">
        <v>707</v>
      </c>
      <c r="I40" s="113">
        <v>0</v>
      </c>
      <c r="J40" s="626">
        <v>80</v>
      </c>
    </row>
    <row r="41" spans="2:28" x14ac:dyDescent="0.25">
      <c r="B41" s="113" t="s">
        <v>1455</v>
      </c>
      <c r="C41" s="555" t="s">
        <v>542</v>
      </c>
      <c r="D41" s="113" t="s">
        <v>1454</v>
      </c>
      <c r="E41" s="113" t="s">
        <v>1090</v>
      </c>
      <c r="F41" s="113" t="s">
        <v>707</v>
      </c>
      <c r="G41" s="113" t="s">
        <v>1101</v>
      </c>
      <c r="H41" s="113" t="s">
        <v>707</v>
      </c>
      <c r="I41" s="113">
        <v>0</v>
      </c>
      <c r="J41" s="626">
        <v>80</v>
      </c>
      <c r="L41" s="625"/>
    </row>
    <row r="42" spans="2:28" x14ac:dyDescent="0.25">
      <c r="B42" s="620" t="s">
        <v>906</v>
      </c>
      <c r="C42" s="620" t="s">
        <v>170</v>
      </c>
      <c r="D42" s="620" t="s">
        <v>707</v>
      </c>
      <c r="E42" s="620" t="s">
        <v>1390</v>
      </c>
      <c r="F42" s="620" t="s">
        <v>1392</v>
      </c>
      <c r="G42" s="620" t="s">
        <v>1101</v>
      </c>
      <c r="H42" s="620" t="s">
        <v>707</v>
      </c>
      <c r="I42" s="620">
        <v>0</v>
      </c>
      <c r="J42" s="620">
        <f>SUMIFS('Iron &amp; Steel'!$C$13:$C$17,'Iron &amp; Steel'!$L$13:$L$17,C42)</f>
        <v>21.400691692311092</v>
      </c>
      <c r="O42" s="622">
        <f>'Iron &amp; Steel'!Z11</f>
        <v>16.42657042314022</v>
      </c>
      <c r="AB42" s="622" t="str">
        <f>PAMS!M21</f>
        <v/>
      </c>
    </row>
    <row r="43" spans="2:28" x14ac:dyDescent="0.25">
      <c r="B43" s="113" t="s">
        <v>906</v>
      </c>
      <c r="C43" s="113" t="s">
        <v>539</v>
      </c>
      <c r="D43" s="113" t="s">
        <v>707</v>
      </c>
      <c r="E43" s="113" t="s">
        <v>1386</v>
      </c>
      <c r="F43" s="113" t="s">
        <v>1388</v>
      </c>
      <c r="G43" s="113" t="s">
        <v>1101</v>
      </c>
      <c r="H43" s="113" t="s">
        <v>707</v>
      </c>
      <c r="I43" s="113">
        <f>IF(pamsindex,3,0)</f>
        <v>0</v>
      </c>
      <c r="J43" s="113">
        <v>19.7</v>
      </c>
      <c r="O43" s="622">
        <f>O42</f>
        <v>16.42657042314022</v>
      </c>
      <c r="AB43" s="622" t="str">
        <f>PAMS!M16</f>
        <v/>
      </c>
    </row>
    <row r="44" spans="2:28" x14ac:dyDescent="0.25">
      <c r="B44" s="620" t="s">
        <v>906</v>
      </c>
      <c r="C44" s="620" t="s">
        <v>172</v>
      </c>
      <c r="D44" s="620" t="s">
        <v>707</v>
      </c>
      <c r="E44" s="620" t="s">
        <v>1382</v>
      </c>
      <c r="F44" s="620" t="s">
        <v>1384</v>
      </c>
      <c r="G44" s="620" t="s">
        <v>1101</v>
      </c>
      <c r="H44" s="620" t="s">
        <v>707</v>
      </c>
      <c r="I44" s="620">
        <v>0</v>
      </c>
      <c r="J44" s="620">
        <f>SUMIFS('Iron &amp; Steel'!$C$13:$C$17,'Iron &amp; Steel'!$L$13:$L$17,C44)</f>
        <v>21.51458852713521</v>
      </c>
      <c r="O44" s="622">
        <f>'Iron &amp; Steel'!Z13</f>
        <v>22.151676172353415</v>
      </c>
      <c r="AB44" s="622" t="str">
        <f>PAMS!M22</f>
        <v/>
      </c>
    </row>
    <row r="45" spans="2:28" x14ac:dyDescent="0.25">
      <c r="B45" s="113" t="s">
        <v>906</v>
      </c>
      <c r="C45" s="113" t="s">
        <v>1296</v>
      </c>
      <c r="D45" s="113" t="s">
        <v>707</v>
      </c>
      <c r="E45" s="113" t="s">
        <v>43</v>
      </c>
      <c r="F45" s="113" t="s">
        <v>1348</v>
      </c>
      <c r="G45" s="113" t="s">
        <v>1101</v>
      </c>
      <c r="H45" s="113" t="s">
        <v>707</v>
      </c>
      <c r="I45" s="113">
        <v>0</v>
      </c>
      <c r="J45" s="113">
        <v>1.6</v>
      </c>
    </row>
    <row r="46" spans="2:28" x14ac:dyDescent="0.25">
      <c r="B46" s="113" t="s">
        <v>906</v>
      </c>
      <c r="C46" s="113" t="s">
        <v>1296</v>
      </c>
      <c r="D46" s="113" t="s">
        <v>707</v>
      </c>
      <c r="E46" s="113" t="s">
        <v>1342</v>
      </c>
      <c r="F46" s="113" t="s">
        <v>43</v>
      </c>
      <c r="G46" s="113" t="s">
        <v>1101</v>
      </c>
      <c r="H46" s="113" t="s">
        <v>707</v>
      </c>
      <c r="I46" s="113">
        <v>0</v>
      </c>
      <c r="J46" s="113">
        <v>0.6</v>
      </c>
    </row>
    <row r="47" spans="2:28" x14ac:dyDescent="0.25">
      <c r="B47" s="620" t="s">
        <v>906</v>
      </c>
      <c r="C47" s="620" t="s">
        <v>175</v>
      </c>
      <c r="D47" s="620" t="s">
        <v>707</v>
      </c>
      <c r="E47" s="620" t="s">
        <v>1378</v>
      </c>
      <c r="F47" s="620" t="s">
        <v>1380</v>
      </c>
      <c r="G47" s="620" t="s">
        <v>1101</v>
      </c>
      <c r="H47" s="620" t="s">
        <v>707</v>
      </c>
      <c r="I47" s="620">
        <v>0</v>
      </c>
      <c r="J47" s="620">
        <f>SUMIFS('Iron &amp; Steel'!$C$13:$C$17,'Iron &amp; Steel'!$L$13:$L$17,C47)</f>
        <v>31.247950199170173</v>
      </c>
      <c r="O47" s="622">
        <f>'Iron &amp; Steel'!Z14</f>
        <v>27.743824076135091</v>
      </c>
      <c r="AB47" s="622" t="str">
        <f>PAMS!M23</f>
        <v/>
      </c>
    </row>
    <row r="48" spans="2:28" x14ac:dyDescent="0.25">
      <c r="B48" s="113" t="s">
        <v>906</v>
      </c>
      <c r="C48" s="113" t="s">
        <v>540</v>
      </c>
      <c r="D48" s="113" t="s">
        <v>707</v>
      </c>
      <c r="E48" s="113" t="s">
        <v>1370</v>
      </c>
      <c r="F48" s="113" t="s">
        <v>1372</v>
      </c>
      <c r="G48" s="113" t="s">
        <v>1101</v>
      </c>
      <c r="H48" s="113" t="s">
        <v>707</v>
      </c>
      <c r="I48" s="113">
        <f>IF(pamsindex,3,0)</f>
        <v>0</v>
      </c>
      <c r="J48" s="113">
        <v>20.3</v>
      </c>
      <c r="M48" s="113" t="str">
        <f>IF(pamsindex,J48,"")</f>
        <v/>
      </c>
      <c r="O48" s="622">
        <f>O47</f>
        <v>27.743824076135091</v>
      </c>
      <c r="AB48" s="622" t="str">
        <f>PAMS!M17</f>
        <v/>
      </c>
    </row>
    <row r="49" spans="2:48" x14ac:dyDescent="0.25">
      <c r="B49" s="113" t="s">
        <v>906</v>
      </c>
      <c r="C49" s="113" t="s">
        <v>541</v>
      </c>
      <c r="D49" s="113" t="s">
        <v>707</v>
      </c>
      <c r="E49" s="113" t="s">
        <v>1374</v>
      </c>
      <c r="F49" s="113" t="s">
        <v>1376</v>
      </c>
      <c r="G49" s="113" t="s">
        <v>1101</v>
      </c>
      <c r="H49" s="113" t="s">
        <v>707</v>
      </c>
      <c r="I49" s="113">
        <f>IF(pamsindex,3,0)</f>
        <v>0</v>
      </c>
      <c r="J49" s="113">
        <v>14.6</v>
      </c>
      <c r="M49" s="113" t="str">
        <f>IF(pamsindex,J49,"")</f>
        <v/>
      </c>
      <c r="O49" s="622">
        <f>O48*80%</f>
        <v>22.195059260908074</v>
      </c>
      <c r="AB49" s="622" t="str">
        <f>PAMS!M18</f>
        <v/>
      </c>
    </row>
    <row r="50" spans="2:48" x14ac:dyDescent="0.25">
      <c r="B50" s="620" t="s">
        <v>906</v>
      </c>
      <c r="C50" s="620" t="s">
        <v>179</v>
      </c>
      <c r="D50" s="620" t="s">
        <v>707</v>
      </c>
      <c r="E50" s="620" t="s">
        <v>1366</v>
      </c>
      <c r="F50" s="620" t="s">
        <v>1368</v>
      </c>
      <c r="G50" s="620" t="s">
        <v>1101</v>
      </c>
      <c r="H50" s="620" t="s">
        <v>707</v>
      </c>
      <c r="I50" s="620">
        <v>0</v>
      </c>
      <c r="J50" s="620">
        <f>SUMIFS('Iron &amp; Steel'!$C$13:$C$17,'Iron &amp; Steel'!$L$13:$L$17,C50)</f>
        <v>37.074375174722789</v>
      </c>
      <c r="O50" s="622">
        <f>'Iron &amp; Steel'!Z17</f>
        <v>44.655000000000001</v>
      </c>
      <c r="AB50" s="622" t="str">
        <f>PAMS!M24</f>
        <v/>
      </c>
    </row>
    <row r="51" spans="2:48" x14ac:dyDescent="0.25">
      <c r="B51" s="620" t="s">
        <v>906</v>
      </c>
      <c r="C51" s="620" t="s">
        <v>181</v>
      </c>
      <c r="D51" s="620" t="s">
        <v>707</v>
      </c>
      <c r="E51" s="620" t="s">
        <v>1358</v>
      </c>
      <c r="F51" s="620" t="s">
        <v>1360</v>
      </c>
      <c r="G51" s="620" t="s">
        <v>1101</v>
      </c>
      <c r="H51" s="620" t="s">
        <v>707</v>
      </c>
      <c r="I51" s="620">
        <v>0</v>
      </c>
      <c r="J51" s="620">
        <f>SUMIFS('Iron &amp; Steel'!$C$13:$C$17,'Iron &amp; Steel'!$L$13:$L$17,C51)</f>
        <v>10</v>
      </c>
      <c r="O51" s="622">
        <f>'Iron &amp; Steel'!Z18</f>
        <v>5.4887322803632257</v>
      </c>
      <c r="AB51" s="622" t="str">
        <f>PAMS!M25</f>
        <v/>
      </c>
    </row>
    <row r="52" spans="2:48" x14ac:dyDescent="0.25">
      <c r="B52" s="113" t="s">
        <v>906</v>
      </c>
      <c r="C52" s="113" t="s">
        <v>542</v>
      </c>
      <c r="D52" s="113" t="s">
        <v>707</v>
      </c>
      <c r="E52" s="113" t="s">
        <v>1354</v>
      </c>
      <c r="F52" s="113" t="s">
        <v>1356</v>
      </c>
      <c r="G52" s="113" t="s">
        <v>1101</v>
      </c>
      <c r="H52" s="113" t="s">
        <v>707</v>
      </c>
      <c r="I52" s="113">
        <f>IF(pamsindex,3,0)</f>
        <v>0</v>
      </c>
      <c r="J52" s="113">
        <v>6.6</v>
      </c>
      <c r="M52" s="113" t="str">
        <f>IF(pamsindex,J52,"")</f>
        <v/>
      </c>
      <c r="O52" s="622">
        <f>'Iron &amp; Steel'!Z19</f>
        <v>5.4887322803632257</v>
      </c>
      <c r="AB52" s="622" t="str">
        <f>PAMS!M19</f>
        <v/>
      </c>
    </row>
    <row r="53" spans="2:48" x14ac:dyDescent="0.25">
      <c r="B53" s="620" t="s">
        <v>908</v>
      </c>
      <c r="C53" s="620" t="s">
        <v>170</v>
      </c>
      <c r="D53" s="620" t="s">
        <v>43</v>
      </c>
      <c r="E53" s="620" t="s">
        <v>1392</v>
      </c>
      <c r="F53" s="620" t="s">
        <v>707</v>
      </c>
      <c r="G53" s="620" t="s">
        <v>1101</v>
      </c>
      <c r="H53" s="620" t="s">
        <v>593</v>
      </c>
      <c r="I53" s="620">
        <v>3</v>
      </c>
      <c r="J53" s="621">
        <f>SUMIFS('Iron &amp; Steel'!$O$25:$O$83,'Iron &amp; Steel'!$B$25:$B$83,C53,'Iron &amp; Steel'!$D$25:$D$83,D53,'Iron &amp; Steel'!$H$25:$H$83,H53)</f>
        <v>0.42194897855775038</v>
      </c>
      <c r="O53" s="621">
        <f>SUMIFS('Iron &amp; Steel'!$R$25:$R$83,'Iron &amp; Steel'!$B$25:$B$83,C53,'Iron &amp; Steel'!$D$25:$D$83,D53,'Iron &amp; Steel'!$H$25:$H$83,H53)</f>
        <v>0.54033090194192068</v>
      </c>
      <c r="AN53" s="622">
        <f>IF(IF(H53="UP",J53+0.1,IF(H53="LO",J53-0.1,J53))&lt;0,0,IF(H53="UP",J53+0.1,IF(H53="LO",J53-0.1,J53)))</f>
        <v>0.3219489785577504</v>
      </c>
    </row>
    <row r="54" spans="2:48" x14ac:dyDescent="0.25">
      <c r="B54" s="620" t="s">
        <v>908</v>
      </c>
      <c r="C54" s="113" t="s">
        <v>170</v>
      </c>
      <c r="D54" s="113" t="s">
        <v>43</v>
      </c>
      <c r="E54" s="113" t="s">
        <v>1392</v>
      </c>
      <c r="F54" s="113" t="s">
        <v>707</v>
      </c>
      <c r="G54" s="113" t="s">
        <v>1101</v>
      </c>
      <c r="H54" s="113" t="s">
        <v>594</v>
      </c>
      <c r="I54" s="113">
        <v>3</v>
      </c>
      <c r="J54" s="621">
        <f>SUMIFS('Iron &amp; Steel'!$O$25:$O$83,'Iron &amp; Steel'!$B$25:$B$83,C54,'Iron &amp; Steel'!$D$25:$D$83,D54,'Iron &amp; Steel'!$H$25:$H$83,H54)</f>
        <v>0.42194897855775038</v>
      </c>
      <c r="O54" s="621">
        <f>SUMIFS('Iron &amp; Steel'!$R$25:$R$83,'Iron &amp; Steel'!$B$25:$B$83,C54,'Iron &amp; Steel'!$D$25:$D$83,D54,'Iron &amp; Steel'!$H$25:$H$83,H54)</f>
        <v>0.54573421096133989</v>
      </c>
    </row>
    <row r="55" spans="2:48" x14ac:dyDescent="0.25">
      <c r="B55" s="620" t="s">
        <v>908</v>
      </c>
      <c r="C55" s="113" t="s">
        <v>170</v>
      </c>
      <c r="D55" s="113" t="s">
        <v>40</v>
      </c>
      <c r="E55" s="113" t="s">
        <v>1392</v>
      </c>
      <c r="F55" s="113" t="s">
        <v>707</v>
      </c>
      <c r="G55" s="113" t="s">
        <v>1101</v>
      </c>
      <c r="H55" s="113" t="s">
        <v>593</v>
      </c>
      <c r="I55" s="113">
        <v>3</v>
      </c>
      <c r="J55" s="621">
        <f>SUMIFS('Iron &amp; Steel'!$O$25:$O$83,'Iron &amp; Steel'!$B$25:$B$83,C55,'Iron &amp; Steel'!$D$25:$D$83,D55,'Iron &amp; Steel'!$H$25:$H$83,H55)</f>
        <v>0.20494664672805019</v>
      </c>
      <c r="O55" s="621">
        <f>SUMIFS('Iron &amp; Steel'!$R$25:$R$83,'Iron &amp; Steel'!$B$25:$B$83,C55,'Iron &amp; Steel'!$D$25:$D$83,D55,'Iron &amp; Steel'!$H$25:$H$83,H55)</f>
        <v>0.26361053874824431</v>
      </c>
    </row>
    <row r="56" spans="2:48" x14ac:dyDescent="0.25">
      <c r="B56" s="620" t="s">
        <v>908</v>
      </c>
      <c r="C56" s="113" t="s">
        <v>170</v>
      </c>
      <c r="D56" s="113" t="s">
        <v>40</v>
      </c>
      <c r="E56" s="113" t="s">
        <v>1392</v>
      </c>
      <c r="F56" s="113" t="s">
        <v>707</v>
      </c>
      <c r="G56" s="113" t="s">
        <v>1101</v>
      </c>
      <c r="H56" s="113" t="s">
        <v>594</v>
      </c>
      <c r="I56" s="113">
        <v>3</v>
      </c>
      <c r="J56" s="621">
        <f>SUMIFS('Iron &amp; Steel'!$O$25:$O$83,'Iron &amp; Steel'!$B$25:$B$83,C56,'Iron &amp; Steel'!$D$25:$D$83,D56,'Iron &amp; Steel'!$H$25:$H$83,H56)</f>
        <v>0.20494664672805019</v>
      </c>
      <c r="O56" s="621">
        <f>SUMIFS('Iron &amp; Steel'!$R$25:$R$83,'Iron &amp; Steel'!$B$25:$B$83,C56,'Iron &amp; Steel'!$D$25:$D$83,D56,'Iron &amp; Steel'!$H$25:$H$83,H56)</f>
        <v>0.26624664413572674</v>
      </c>
      <c r="AN56" s="622">
        <f>IF(IF(H56="UP",J56+0.1,IF(H56="LO",J56-0.1,J56))&lt;0,0,IF(H56="UP",J56+0.1,IF(H56="LO",J56-0.1,J56)))</f>
        <v>0.30494664672805016</v>
      </c>
    </row>
    <row r="57" spans="2:48" x14ac:dyDescent="0.25">
      <c r="B57" s="620" t="s">
        <v>908</v>
      </c>
      <c r="C57" s="113" t="s">
        <v>170</v>
      </c>
      <c r="D57" s="113" t="s">
        <v>39</v>
      </c>
      <c r="E57" s="113" t="s">
        <v>1392</v>
      </c>
      <c r="F57" s="113" t="s">
        <v>707</v>
      </c>
      <c r="G57" s="113" t="s">
        <v>1101</v>
      </c>
      <c r="H57" s="113" t="s">
        <v>1102</v>
      </c>
      <c r="I57" s="113">
        <v>3</v>
      </c>
      <c r="J57" s="621">
        <f>SUMIFS('Iron &amp; Steel'!$O$25:$O$83,'Iron &amp; Steel'!$B$25:$B$83,C57,'Iron &amp; Steel'!$D$25:$D$83,D57,'Iron &amp; Steel'!$H$25:$H$83,"LO")</f>
        <v>0.13801851523202419</v>
      </c>
      <c r="O57" s="621">
        <f>SUMIFS('Iron &amp; Steel'!$R$25:$R$83,'Iron &amp; Steel'!$B$25:$B$83,C57,'Iron &amp; Steel'!$D$25:$D$83,D57,'Iron &amp; Steel'!$H$25:$H$83,"LO")</f>
        <v>0.12782206880423377</v>
      </c>
    </row>
    <row r="58" spans="2:48" x14ac:dyDescent="0.25">
      <c r="B58" s="620" t="s">
        <v>908</v>
      </c>
      <c r="C58" s="113" t="s">
        <v>170</v>
      </c>
      <c r="D58" s="113" t="s">
        <v>592</v>
      </c>
      <c r="E58" s="113" t="s">
        <v>1392</v>
      </c>
      <c r="F58" s="113" t="s">
        <v>707</v>
      </c>
      <c r="G58" s="113" t="s">
        <v>1101</v>
      </c>
      <c r="H58" s="113" t="s">
        <v>593</v>
      </c>
      <c r="I58" s="113">
        <v>3</v>
      </c>
      <c r="J58" s="621">
        <f>SUMIFS('Iron &amp; Steel'!$O$25:$O$83,'Iron &amp; Steel'!$B$25:$B$83,C58,'Iron &amp; Steel'!$D$25:$D$83,D58,'Iron &amp; Steel'!$H$25:$H$83,H58)</f>
        <v>0.23508585948217525</v>
      </c>
      <c r="O58" s="621">
        <f>SUMIFS('Iron &amp; Steel'!$R$25:$R$83,'Iron &amp; Steel'!$B$25:$B$83,C58,'Iron &amp; Steel'!$D$25:$D$83,D58,'Iron &amp; Steel'!$H$25:$H$83,H58)</f>
        <v>3.2055167215532178E-2</v>
      </c>
    </row>
    <row r="59" spans="2:48" x14ac:dyDescent="0.25">
      <c r="B59" s="620" t="s">
        <v>908</v>
      </c>
      <c r="C59" s="113" t="s">
        <v>170</v>
      </c>
      <c r="D59" s="113" t="s">
        <v>592</v>
      </c>
      <c r="E59" s="113" t="s">
        <v>1392</v>
      </c>
      <c r="F59" s="113" t="s">
        <v>707</v>
      </c>
      <c r="G59" s="113" t="s">
        <v>1101</v>
      </c>
      <c r="H59" s="113" t="s">
        <v>594</v>
      </c>
      <c r="I59" s="113">
        <v>3</v>
      </c>
      <c r="J59" s="621">
        <f>SUMIFS('Iron &amp; Steel'!$O$25:$O$83,'Iron &amp; Steel'!$B$25:$B$83,C59,'Iron &amp; Steel'!$D$25:$D$83,D59,'Iron &amp; Steel'!$H$25:$H$83,H59)</f>
        <v>0.23508585948217525</v>
      </c>
      <c r="O59" s="621">
        <f>SUMIFS('Iron &amp; Steel'!$R$25:$R$83,'Iron &amp; Steel'!$B$25:$B$83,C59,'Iron &amp; Steel'!$D$25:$D$83,D59,'Iron &amp; Steel'!$H$25:$H$83,H59)</f>
        <v>3.2375718887687498E-2</v>
      </c>
      <c r="AN59" s="622">
        <f>IF(IF(H59="UP",J59+0.1,IF(H59="LO",J59-0.1,J59))&lt;0,0,IF(H59="UP",J59+0.1,IF(H59="LO",J59-0.1,J59)))</f>
        <v>0.33508585948217529</v>
      </c>
    </row>
    <row r="60" spans="2:48" x14ac:dyDescent="0.25">
      <c r="B60" s="620" t="s">
        <v>908</v>
      </c>
      <c r="C60" s="113" t="s">
        <v>170</v>
      </c>
      <c r="D60" s="113" t="s">
        <v>1337</v>
      </c>
      <c r="E60" s="113" t="s">
        <v>1392</v>
      </c>
      <c r="F60" s="113" t="s">
        <v>707</v>
      </c>
      <c r="G60" s="113" t="s">
        <v>1101</v>
      </c>
      <c r="H60" s="113" t="s">
        <v>593</v>
      </c>
      <c r="I60" s="113">
        <v>3</v>
      </c>
      <c r="J60" s="621">
        <f>SUMIFS('Iron &amp; Steel'!$O$25:$O$83,'Iron &amp; Steel'!$B$25:$B$83,C60,'Iron &amp; Steel'!$D$25:$D$83,D60,'Iron &amp; Steel'!$H$25:$H$83,H60)</f>
        <v>0</v>
      </c>
      <c r="O60" s="621">
        <f>SUMIFS('Iron &amp; Steel'!$R$25:$R$83,'Iron &amp; Steel'!$B$25:$B$83,C60,'Iron &amp; Steel'!$D$25:$D$83,D60,'Iron &amp; Steel'!$H$25:$H$83,H60)</f>
        <v>0</v>
      </c>
    </row>
    <row r="61" spans="2:48" x14ac:dyDescent="0.25">
      <c r="B61" s="620" t="s">
        <v>908</v>
      </c>
      <c r="C61" s="113" t="s">
        <v>170</v>
      </c>
      <c r="D61" s="113" t="s">
        <v>1337</v>
      </c>
      <c r="E61" s="113" t="s">
        <v>1392</v>
      </c>
      <c r="F61" s="113" t="s">
        <v>707</v>
      </c>
      <c r="G61" s="113" t="s">
        <v>1101</v>
      </c>
      <c r="H61" s="113" t="s">
        <v>594</v>
      </c>
      <c r="I61" s="113">
        <v>3</v>
      </c>
      <c r="J61" s="621">
        <f>SUMIFS('Iron &amp; Steel'!$O$25:$O$83,'Iron &amp; Steel'!$B$25:$B$83,C61,'Iron &amp; Steel'!$D$25:$D$83,D61,'Iron &amp; Steel'!$H$25:$H$83,H61)</f>
        <v>5.0000000000000001E-3</v>
      </c>
      <c r="O61" s="621">
        <f>SUMIFS('Iron &amp; Steel'!$R$25:$R$83,'Iron &amp; Steel'!$B$25:$B$83,C61,'Iron &amp; Steel'!$D$25:$D$83,D61,'Iron &amp; Steel'!$H$25:$H$83,H61)</f>
        <v>0</v>
      </c>
      <c r="AN61" s="622">
        <f>IF(IF(H61="UP",J61+0.1,IF(H61="LO",J61-0.1,J61))&lt;0,0,IF(H61="UP",J61+0.1,IF(H61="LO",J61-0.1,J61)))</f>
        <v>0.10500000000000001</v>
      </c>
    </row>
    <row r="62" spans="2:48" x14ac:dyDescent="0.25">
      <c r="B62" s="620" t="s">
        <v>908</v>
      </c>
      <c r="C62" s="113" t="s">
        <v>539</v>
      </c>
      <c r="D62" s="113" t="s">
        <v>43</v>
      </c>
      <c r="E62" s="113" t="s">
        <v>1388</v>
      </c>
      <c r="F62" s="113" t="s">
        <v>707</v>
      </c>
      <c r="G62" s="113" t="s">
        <v>1101</v>
      </c>
      <c r="H62" s="113" t="s">
        <v>593</v>
      </c>
      <c r="I62" s="113">
        <v>3</v>
      </c>
      <c r="J62" s="621">
        <f>SUMIFS('Iron &amp; Steel'!$O$25:$O$83,'Iron &amp; Steel'!$B$25:$B$83,C62,'Iron &amp; Steel'!$D$25:$D$83,D62,'Iron &amp; Steel'!$H$25:$H$83,H62)</f>
        <v>0.25</v>
      </c>
      <c r="O62" s="621">
        <f>SUMIFS('Iron &amp; Steel'!$R$25:$R$83,'Iron &amp; Steel'!$B$25:$B$83,C62,'Iron &amp; Steel'!$D$25:$D$83,D62,'Iron &amp; Steel'!$H$25:$H$83,H62)</f>
        <v>0.54033090194192068</v>
      </c>
      <c r="AV62" s="622"/>
    </row>
    <row r="63" spans="2:48" x14ac:dyDescent="0.25">
      <c r="B63" s="620" t="s">
        <v>908</v>
      </c>
      <c r="C63" s="113" t="s">
        <v>539</v>
      </c>
      <c r="D63" s="113" t="s">
        <v>43</v>
      </c>
      <c r="E63" s="113" t="s">
        <v>1388</v>
      </c>
      <c r="F63" s="113" t="s">
        <v>707</v>
      </c>
      <c r="G63" s="113" t="s">
        <v>1101</v>
      </c>
      <c r="H63" s="113" t="s">
        <v>594</v>
      </c>
      <c r="I63" s="113">
        <v>3</v>
      </c>
      <c r="J63" s="621">
        <f>SUMIFS('Iron &amp; Steel'!$O$25:$O$83,'Iron &amp; Steel'!$B$25:$B$83,C63,'Iron &amp; Steel'!$D$25:$D$83,D63,'Iron &amp; Steel'!$H$25:$H$83,H63)</f>
        <v>0.35</v>
      </c>
      <c r="O63" s="621">
        <f>SUMIFS('Iron &amp; Steel'!$R$25:$R$83,'Iron &amp; Steel'!$B$25:$B$83,C63,'Iron &amp; Steel'!$D$25:$D$83,D63,'Iron &amp; Steel'!$H$25:$H$83,H63)</f>
        <v>0.54573421096133989</v>
      </c>
    </row>
    <row r="64" spans="2:48" x14ac:dyDescent="0.25">
      <c r="B64" s="620" t="s">
        <v>908</v>
      </c>
      <c r="C64" s="113" t="s">
        <v>539</v>
      </c>
      <c r="D64" s="113" t="s">
        <v>40</v>
      </c>
      <c r="E64" s="113" t="s">
        <v>1388</v>
      </c>
      <c r="F64" s="113" t="s">
        <v>707</v>
      </c>
      <c r="G64" s="113" t="s">
        <v>1101</v>
      </c>
      <c r="H64" s="113" t="s">
        <v>593</v>
      </c>
      <c r="I64" s="113">
        <v>3</v>
      </c>
      <c r="J64" s="621">
        <f>SUMIFS('Iron &amp; Steel'!$O$25:$O$83,'Iron &amp; Steel'!$B$25:$B$83,C64,'Iron &amp; Steel'!$D$25:$D$83,D64,'Iron &amp; Steel'!$H$25:$H$83,H64)</f>
        <v>0.15</v>
      </c>
      <c r="O64" s="621">
        <f>SUMIFS('Iron &amp; Steel'!$R$25:$R$83,'Iron &amp; Steel'!$B$25:$B$83,C64,'Iron &amp; Steel'!$D$25:$D$83,D64,'Iron &amp; Steel'!$H$25:$H$83,H64)</f>
        <v>0.26361053874824431</v>
      </c>
      <c r="AV64" s="622"/>
    </row>
    <row r="65" spans="2:48" x14ac:dyDescent="0.25">
      <c r="B65" s="620" t="s">
        <v>908</v>
      </c>
      <c r="C65" s="113" t="s">
        <v>539</v>
      </c>
      <c r="D65" s="113" t="s">
        <v>40</v>
      </c>
      <c r="E65" s="113" t="s">
        <v>1388</v>
      </c>
      <c r="F65" s="113" t="s">
        <v>707</v>
      </c>
      <c r="G65" s="113" t="s">
        <v>1101</v>
      </c>
      <c r="H65" s="113" t="s">
        <v>594</v>
      </c>
      <c r="I65" s="113">
        <v>3</v>
      </c>
      <c r="J65" s="621">
        <f>SUMIFS('Iron &amp; Steel'!$O$25:$O$83,'Iron &amp; Steel'!$B$25:$B$83,C65,'Iron &amp; Steel'!$D$25:$D$83,D65,'Iron &amp; Steel'!$H$25:$H$83,H65)</f>
        <v>0.17100000000000001</v>
      </c>
      <c r="O65" s="621">
        <f>SUMIFS('Iron &amp; Steel'!$R$25:$R$83,'Iron &amp; Steel'!$B$25:$B$83,C65,'Iron &amp; Steel'!$D$25:$D$83,D65,'Iron &amp; Steel'!$H$25:$H$83,H65)</f>
        <v>0.26624664413572674</v>
      </c>
    </row>
    <row r="66" spans="2:48" x14ac:dyDescent="0.25">
      <c r="B66" s="620" t="s">
        <v>908</v>
      </c>
      <c r="C66" s="113" t="s">
        <v>539</v>
      </c>
      <c r="D66" s="113" t="s">
        <v>39</v>
      </c>
      <c r="E66" s="113" t="s">
        <v>1388</v>
      </c>
      <c r="F66" s="113" t="s">
        <v>707</v>
      </c>
      <c r="G66" s="113" t="s">
        <v>1101</v>
      </c>
      <c r="H66" s="113" t="s">
        <v>1102</v>
      </c>
      <c r="I66" s="113">
        <v>3</v>
      </c>
      <c r="J66" s="621">
        <f>SUMIFS('Iron &amp; Steel'!$O$25:$O$83,'Iron &amp; Steel'!$B$25:$B$83,C66,'Iron &amp; Steel'!$D$25:$D$83,D66,'Iron &amp; Steel'!$H$25:$H$83,H66)</f>
        <v>0.23</v>
      </c>
      <c r="O66" s="621">
        <f>SUMIFS('Iron &amp; Steel'!$R$25:$R$83,'Iron &amp; Steel'!$B$25:$B$83,C66,'Iron &amp; Steel'!$D$25:$D$83,D66,'Iron &amp; Steel'!$H$25:$H$83,H66)</f>
        <v>0.12782206880423377</v>
      </c>
    </row>
    <row r="67" spans="2:48" x14ac:dyDescent="0.25">
      <c r="B67" s="620" t="s">
        <v>908</v>
      </c>
      <c r="C67" s="113" t="s">
        <v>539</v>
      </c>
      <c r="D67" s="113" t="s">
        <v>592</v>
      </c>
      <c r="E67" s="113" t="s">
        <v>1388</v>
      </c>
      <c r="F67" s="113" t="s">
        <v>707</v>
      </c>
      <c r="G67" s="113" t="s">
        <v>1101</v>
      </c>
      <c r="H67" s="113" t="s">
        <v>593</v>
      </c>
      <c r="I67" s="113">
        <v>3</v>
      </c>
      <c r="J67" s="621">
        <f>SUMIFS('Iron &amp; Steel'!$O$25:$O$83,'Iron &amp; Steel'!$B$25:$B$83,C67,'Iron &amp; Steel'!$D$25:$D$83,D67,'Iron &amp; Steel'!$H$25:$H$83,H67)</f>
        <v>7.4999999999999997E-2</v>
      </c>
      <c r="O67" s="621">
        <f>SUMIFS('Iron &amp; Steel'!$R$25:$R$83,'Iron &amp; Steel'!$B$25:$B$83,C67,'Iron &amp; Steel'!$D$25:$D$83,D67,'Iron &amp; Steel'!$H$25:$H$83,H67)</f>
        <v>3.2055167215532178E-2</v>
      </c>
      <c r="AV67" s="622"/>
    </row>
    <row r="68" spans="2:48" x14ac:dyDescent="0.25">
      <c r="B68" s="620" t="s">
        <v>908</v>
      </c>
      <c r="C68" s="113" t="s">
        <v>539</v>
      </c>
      <c r="D68" s="113" t="s">
        <v>592</v>
      </c>
      <c r="E68" s="113" t="s">
        <v>1388</v>
      </c>
      <c r="F68" s="113" t="s">
        <v>707</v>
      </c>
      <c r="G68" s="113" t="s">
        <v>1101</v>
      </c>
      <c r="H68" s="113" t="s">
        <v>594</v>
      </c>
      <c r="I68" s="113">
        <v>3</v>
      </c>
      <c r="J68" s="621">
        <f>SUMIFS('Iron &amp; Steel'!$O$25:$O$83,'Iron &amp; Steel'!$B$25:$B$83,C68,'Iron &amp; Steel'!$D$25:$D$83,D68,'Iron &amp; Steel'!$H$25:$H$83,H68)</f>
        <v>0.245</v>
      </c>
      <c r="O68" s="621">
        <f>SUMIFS('Iron &amp; Steel'!$R$25:$R$83,'Iron &amp; Steel'!$B$25:$B$83,C68,'Iron &amp; Steel'!$D$25:$D$83,D68,'Iron &amp; Steel'!$H$25:$H$83,H68)</f>
        <v>3.2375718887687498E-2</v>
      </c>
    </row>
    <row r="69" spans="2:48" x14ac:dyDescent="0.25">
      <c r="B69" s="620" t="s">
        <v>908</v>
      </c>
      <c r="C69" s="113" t="s">
        <v>539</v>
      </c>
      <c r="D69" s="113" t="s">
        <v>1337</v>
      </c>
      <c r="E69" s="113" t="s">
        <v>1388</v>
      </c>
      <c r="F69" s="113" t="s">
        <v>707</v>
      </c>
      <c r="G69" s="113" t="s">
        <v>1101</v>
      </c>
      <c r="H69" s="113" t="s">
        <v>593</v>
      </c>
      <c r="I69" s="113">
        <v>3</v>
      </c>
      <c r="J69" s="621">
        <f>SUMIFS('Iron &amp; Steel'!$O$25:$O$83,'Iron &amp; Steel'!$B$25:$B$83,C69,'Iron &amp; Steel'!$D$25:$D$83,D69,'Iron &amp; Steel'!$H$25:$H$83,H69)</f>
        <v>5.0000000000000001E-3</v>
      </c>
      <c r="O69" s="621">
        <f>SUMIFS('Iron &amp; Steel'!$R$25:$R$83,'Iron &amp; Steel'!$B$25:$B$83,C69,'Iron &amp; Steel'!$D$25:$D$83,D69,'Iron &amp; Steel'!$H$25:$H$83,H69)</f>
        <v>0</v>
      </c>
      <c r="AV69" s="622"/>
    </row>
    <row r="70" spans="2:48" x14ac:dyDescent="0.25">
      <c r="B70" s="620" t="s">
        <v>908</v>
      </c>
      <c r="C70" s="113" t="s">
        <v>539</v>
      </c>
      <c r="D70" s="113" t="s">
        <v>1337</v>
      </c>
      <c r="E70" s="113" t="s">
        <v>1388</v>
      </c>
      <c r="F70" s="113" t="s">
        <v>707</v>
      </c>
      <c r="G70" s="113" t="s">
        <v>1101</v>
      </c>
      <c r="H70" s="113" t="s">
        <v>594</v>
      </c>
      <c r="I70" s="113">
        <v>3</v>
      </c>
      <c r="J70" s="621">
        <f>SUMIFS('Iron &amp; Steel'!$O$25:$O$83,'Iron &amp; Steel'!$B$25:$B$83,C70,'Iron &amp; Steel'!$D$25:$D$83,D70,'Iron &amp; Steel'!$H$25:$H$83,H70)</f>
        <v>0.15</v>
      </c>
      <c r="O70" s="621">
        <f>SUMIFS('Iron &amp; Steel'!$R$25:$R$83,'Iron &amp; Steel'!$B$25:$B$83,C70,'Iron &amp; Steel'!$D$25:$D$83,D70,'Iron &amp; Steel'!$H$25:$H$83,H70)</f>
        <v>0</v>
      </c>
    </row>
    <row r="71" spans="2:48" x14ac:dyDescent="0.25">
      <c r="B71" s="620" t="s">
        <v>908</v>
      </c>
      <c r="C71" s="113" t="s">
        <v>172</v>
      </c>
      <c r="D71" s="113" t="s">
        <v>43</v>
      </c>
      <c r="E71" s="113" t="s">
        <v>1384</v>
      </c>
      <c r="F71" s="113" t="s">
        <v>707</v>
      </c>
      <c r="G71" s="113" t="s">
        <v>1101</v>
      </c>
      <c r="H71" s="113" t="s">
        <v>1102</v>
      </c>
      <c r="I71" s="113">
        <v>3</v>
      </c>
      <c r="J71" s="621">
        <f>SUMIFS('Iron &amp; Steel'!$O$25:$O$83,'Iron &amp; Steel'!$B$25:$B$83,C71,'Iron &amp; Steel'!$D$25:$D$83,D71,'Iron &amp; Steel'!$H$25:$H$83,H71)</f>
        <v>0.20544199552900064</v>
      </c>
      <c r="O71" s="621">
        <f>SUMIFS('Iron &amp; Steel'!$R$25:$R$83,'Iron &amp; Steel'!$B$25:$B$83,C71,'Iron &amp; Steel'!$D$25:$D$83,D71,'Iron &amp; Steel'!$H$25:$H$83,H71)</f>
        <v>0.11854633390124225</v>
      </c>
    </row>
    <row r="72" spans="2:48" x14ac:dyDescent="0.25">
      <c r="B72" s="620" t="s">
        <v>908</v>
      </c>
      <c r="C72" s="113" t="s">
        <v>172</v>
      </c>
      <c r="D72" s="113" t="s">
        <v>40</v>
      </c>
      <c r="E72" s="113" t="s">
        <v>1384</v>
      </c>
      <c r="F72" s="113" t="s">
        <v>707</v>
      </c>
      <c r="G72" s="113" t="s">
        <v>1101</v>
      </c>
      <c r="H72" s="113" t="s">
        <v>1102</v>
      </c>
      <c r="I72" s="113">
        <v>3</v>
      </c>
      <c r="J72" s="621">
        <f>SUMIFS('Iron &amp; Steel'!$O$25:$O$83,'Iron &amp; Steel'!$B$25:$B$83,C72,'Iron &amp; Steel'!$D$25:$D$83,D72,'Iron &amp; Steel'!$H$25:$H$83,H72)</f>
        <v>0.53173222372211926</v>
      </c>
      <c r="O72" s="621">
        <f>SUMIFS('Iron &amp; Steel'!$R$25:$R$83,'Iron &amp; Steel'!$B$25:$B$83,C72,'Iron &amp; Steel'!$D$25:$D$83,D72,'Iron &amp; Steel'!$H$25:$H$83,H72)</f>
        <v>0.78422959350052568</v>
      </c>
    </row>
    <row r="73" spans="2:48" x14ac:dyDescent="0.25">
      <c r="B73" s="620" t="s">
        <v>908</v>
      </c>
      <c r="C73" s="113" t="s">
        <v>172</v>
      </c>
      <c r="D73" s="113" t="s">
        <v>39</v>
      </c>
      <c r="E73" s="113" t="s">
        <v>1384</v>
      </c>
      <c r="F73" s="113" t="s">
        <v>707</v>
      </c>
      <c r="G73" s="113" t="s">
        <v>1101</v>
      </c>
      <c r="H73" s="113" t="s">
        <v>1102</v>
      </c>
      <c r="I73" s="113">
        <v>3</v>
      </c>
      <c r="J73" s="621">
        <f>SUMIFS('Iron &amp; Steel'!$O$25:$O$83,'Iron &amp; Steel'!$B$25:$B$83,C73,'Iron &amp; Steel'!$D$25:$D$83,D73,'Iron &amp; Steel'!$H$25:$H$83,H73)</f>
        <v>0.26282578074888002</v>
      </c>
      <c r="O73" s="621">
        <f>SUMIFS('Iron &amp; Steel'!$R$25:$R$83,'Iron &amp; Steel'!$B$25:$B$83,C73,'Iron &amp; Steel'!$D$25:$D$83,D73,'Iron &amp; Steel'!$H$25:$H$83,H73)</f>
        <v>7.8787717300517923E-2</v>
      </c>
    </row>
    <row r="74" spans="2:48" x14ac:dyDescent="0.25">
      <c r="B74" s="620" t="s">
        <v>908</v>
      </c>
      <c r="C74" s="113" t="s">
        <v>172</v>
      </c>
      <c r="D74" s="113" t="s">
        <v>592</v>
      </c>
      <c r="E74" s="113" t="s">
        <v>1384</v>
      </c>
      <c r="F74" s="113" t="s">
        <v>707</v>
      </c>
      <c r="G74" s="113" t="s">
        <v>1101</v>
      </c>
      <c r="H74" s="113" t="s">
        <v>1102</v>
      </c>
      <c r="I74" s="113">
        <v>3</v>
      </c>
      <c r="J74" s="621">
        <f>SUMIFS('Iron &amp; Steel'!$O$25:$O$83,'Iron &amp; Steel'!$B$25:$B$83,C74,'Iron &amp; Steel'!$D$25:$D$83,D74,'Iron &amp; Steel'!$H$25:$H$83,H74)</f>
        <v>0</v>
      </c>
      <c r="O74" s="621">
        <f>SUMIFS('Iron &amp; Steel'!$R$25:$R$83,'Iron &amp; Steel'!$B$25:$B$83,C74,'Iron &amp; Steel'!$D$25:$D$83,D74,'Iron &amp; Steel'!$H$25:$H$83,H74)</f>
        <v>1.8543412796297506E-2</v>
      </c>
    </row>
    <row r="75" spans="2:48" x14ac:dyDescent="0.25">
      <c r="B75" s="620" t="s">
        <v>908</v>
      </c>
      <c r="C75" s="113" t="s">
        <v>172</v>
      </c>
      <c r="D75" s="113" t="s">
        <v>595</v>
      </c>
      <c r="E75" s="113" t="s">
        <v>1384</v>
      </c>
      <c r="F75" s="113" t="s">
        <v>707</v>
      </c>
      <c r="G75" s="113" t="s">
        <v>1101</v>
      </c>
      <c r="H75" s="113" t="s">
        <v>1102</v>
      </c>
      <c r="I75" s="113">
        <v>3</v>
      </c>
      <c r="J75" s="621">
        <f>SUMIFS('Iron &amp; Steel'!$O$25:$O$83,'Iron &amp; Steel'!$B$25:$B$83,C75,'Iron &amp; Steel'!$D$25:$D$83,D75,'Iron &amp; Steel'!$H$25:$H$83,H75)</f>
        <v>5.7000000000000002E-2</v>
      </c>
      <c r="O75" s="621">
        <f>SUMIFS('Iron &amp; Steel'!$R$25:$R$83,'Iron &amp; Steel'!$B$25:$B$83,C75,'Iron &amp; Steel'!$D$25:$D$83,D75,'Iron &amp; Steel'!$H$25:$H$83,H75)</f>
        <v>9.8929425014163911E-3</v>
      </c>
    </row>
    <row r="76" spans="2:48" x14ac:dyDescent="0.25">
      <c r="B76" s="620" t="s">
        <v>908</v>
      </c>
      <c r="C76" s="113" t="s">
        <v>175</v>
      </c>
      <c r="D76" s="113" t="s">
        <v>40</v>
      </c>
      <c r="E76" s="113" t="s">
        <v>1380</v>
      </c>
      <c r="F76" s="113" t="s">
        <v>707</v>
      </c>
      <c r="G76" s="113" t="s">
        <v>1101</v>
      </c>
      <c r="H76" s="113" t="s">
        <v>593</v>
      </c>
      <c r="I76" s="113">
        <v>3</v>
      </c>
      <c r="J76" s="621">
        <f>SUMIFS('Iron &amp; Steel'!$O$25:$O$83,'Iron &amp; Steel'!$B$25:$B$83,C76,'Iron &amp; Steel'!$D$25:$D$83,D76,'Iron &amp; Steel'!$H$25:$H$83,H76)</f>
        <v>0.66708375644280071</v>
      </c>
      <c r="O76" s="621">
        <f>SUMIFS('Iron &amp; Steel'!$R$25:$R$83,'Iron &amp; Steel'!$B$25:$B$83,C76,'Iron &amp; Steel'!$D$25:$D$83,D76,'Iron &amp; Steel'!$H$25:$H$83,H76)</f>
        <v>0.74238447012267461</v>
      </c>
      <c r="AN76" s="622">
        <f>IF(IF(H76="UP",J76+0.1,IF(H76="LO",J76-0.1,J76))&lt;0,0,IF(H76="UP",J76+0.1,IF(H76="LO",J76-0.1,J76)))</f>
        <v>0.56708375644280073</v>
      </c>
    </row>
    <row r="77" spans="2:48" x14ac:dyDescent="0.25">
      <c r="B77" s="620" t="s">
        <v>908</v>
      </c>
      <c r="C77" s="113" t="s">
        <v>175</v>
      </c>
      <c r="D77" s="113" t="s">
        <v>40</v>
      </c>
      <c r="E77" s="113" t="s">
        <v>1380</v>
      </c>
      <c r="F77" s="113" t="s">
        <v>707</v>
      </c>
      <c r="G77" s="113" t="s">
        <v>1101</v>
      </c>
      <c r="H77" s="113" t="s">
        <v>594</v>
      </c>
      <c r="I77" s="113">
        <v>3</v>
      </c>
      <c r="J77" s="621">
        <f>SUMIFS('Iron &amp; Steel'!$O$25:$O$83,'Iron &amp; Steel'!$B$25:$B$83,C77,'Iron &amp; Steel'!$D$25:$D$83,D77,'Iron &amp; Steel'!$H$25:$H$83,H77)</f>
        <v>0.66708375644280071</v>
      </c>
      <c r="O77" s="621">
        <f>SUMIFS('Iron &amp; Steel'!$R$25:$R$83,'Iron &amp; Steel'!$B$25:$B$83,C77,'Iron &amp; Steel'!$D$25:$D$83,D77,'Iron &amp; Steel'!$H$25:$H$83,H77)</f>
        <v>0.74980831482390131</v>
      </c>
    </row>
    <row r="78" spans="2:48" x14ac:dyDescent="0.25">
      <c r="B78" s="620" t="s">
        <v>908</v>
      </c>
      <c r="C78" s="113" t="s">
        <v>175</v>
      </c>
      <c r="D78" s="113" t="s">
        <v>39</v>
      </c>
      <c r="E78" s="113" t="s">
        <v>1380</v>
      </c>
      <c r="F78" s="113" t="s">
        <v>707</v>
      </c>
      <c r="G78" s="113" t="s">
        <v>1101</v>
      </c>
      <c r="H78" s="113" t="s">
        <v>1102</v>
      </c>
      <c r="I78" s="113">
        <v>3</v>
      </c>
      <c r="J78" s="621">
        <f>SUMIFS('Iron &amp; Steel'!$O$25:$O$83,'Iron &amp; Steel'!$B$25:$B$83,C78,'Iron &amp; Steel'!$D$25:$D$83,D78,'Iron &amp; Steel'!$H$25:$H$83,H78)</f>
        <v>0.32078744798551195</v>
      </c>
      <c r="O78" s="621">
        <f>SUMIFS('Iron &amp; Steel'!$R$25:$R$83,'Iron &amp; Steel'!$B$25:$B$83,C78,'Iron &amp; Steel'!$D$25:$D$83,D78,'Iron &amp; Steel'!$H$25:$H$83,H78)</f>
        <v>0.17683462777941716</v>
      </c>
    </row>
    <row r="79" spans="2:48" x14ac:dyDescent="0.25">
      <c r="B79" s="620" t="s">
        <v>908</v>
      </c>
      <c r="C79" s="113" t="s">
        <v>175</v>
      </c>
      <c r="D79" s="113" t="s">
        <v>592</v>
      </c>
      <c r="E79" s="113" t="s">
        <v>1380</v>
      </c>
      <c r="F79" s="113" t="s">
        <v>707</v>
      </c>
      <c r="G79" s="113" t="s">
        <v>1101</v>
      </c>
      <c r="H79" s="113" t="s">
        <v>593</v>
      </c>
      <c r="I79" s="113">
        <v>3</v>
      </c>
      <c r="J79" s="621">
        <f>SUMIFS('Iron &amp; Steel'!$O$25:$O$83,'Iron &amp; Steel'!$B$25:$B$83,C79,'Iron &amp; Steel'!$D$25:$D$83,D79,'Iron &amp; Steel'!$H$25:$H$83,H79)</f>
        <v>1.2128795571687277E-2</v>
      </c>
      <c r="O79" s="621">
        <f>SUMIFS('Iron &amp; Steel'!$R$25:$R$83,'Iron &amp; Steel'!$B$25:$B$83,C79,'Iron &amp; Steel'!$D$25:$D$83,D79,'Iron &amp; Steel'!$H$25:$H$83,H79)</f>
        <v>8.2531739996714287E-2</v>
      </c>
    </row>
    <row r="80" spans="2:48" x14ac:dyDescent="0.25">
      <c r="B80" s="620" t="s">
        <v>908</v>
      </c>
      <c r="C80" s="113" t="s">
        <v>175</v>
      </c>
      <c r="D80" s="113" t="s">
        <v>592</v>
      </c>
      <c r="E80" s="113" t="s">
        <v>1380</v>
      </c>
      <c r="F80" s="113" t="s">
        <v>707</v>
      </c>
      <c r="G80" s="113" t="s">
        <v>1101</v>
      </c>
      <c r="H80" s="113" t="s">
        <v>594</v>
      </c>
      <c r="I80" s="113">
        <v>3</v>
      </c>
      <c r="J80" s="621">
        <f>SUMIFS('Iron &amp; Steel'!$O$25:$O$83,'Iron &amp; Steel'!$B$25:$B$83,C80,'Iron &amp; Steel'!$D$25:$D$83,D80,'Iron &amp; Steel'!$H$25:$H$83,H80)</f>
        <v>1.2128795571687277E-2</v>
      </c>
      <c r="O80" s="621">
        <f>SUMIFS('Iron &amp; Steel'!$R$25:$R$83,'Iron &amp; Steel'!$B$25:$B$83,C80,'Iron &amp; Steel'!$D$25:$D$83,D80,'Iron &amp; Steel'!$H$25:$H$83,H80)</f>
        <v>8.3357057396681436E-2</v>
      </c>
      <c r="AN80" s="622">
        <f>IF(IF(H80="UP",J80+0.1,IF(H80="LO",J80-0.1,J80))&lt;0,0,IF(H80="UP",J80+0.1,IF(H80="LO",J80-0.1,J80)))</f>
        <v>0.11212879557168728</v>
      </c>
    </row>
    <row r="81" spans="2:48" x14ac:dyDescent="0.25">
      <c r="B81" s="620" t="s">
        <v>908</v>
      </c>
      <c r="C81" s="113" t="s">
        <v>175</v>
      </c>
      <c r="D81" s="113" t="s">
        <v>1337</v>
      </c>
      <c r="E81" s="113" t="s">
        <v>1380</v>
      </c>
      <c r="F81" s="113" t="s">
        <v>707</v>
      </c>
      <c r="G81" s="113" t="s">
        <v>1101</v>
      </c>
      <c r="H81" s="113" t="s">
        <v>593</v>
      </c>
      <c r="I81" s="113">
        <v>3</v>
      </c>
      <c r="J81" s="621">
        <f>SUMIFS('Iron &amp; Steel'!$O$25:$O$83,'Iron &amp; Steel'!$B$25:$B$83,C81,'Iron &amp; Steel'!$D$25:$D$83,D81,'Iron &amp; Steel'!$H$25:$H$83,H81)</f>
        <v>0</v>
      </c>
      <c r="O81" s="621">
        <f>SUMIFS('Iron &amp; Steel'!$R$25:$R$83,'Iron &amp; Steel'!$B$25:$B$83,C81,'Iron &amp; Steel'!$D$25:$D$83,D81,'Iron &amp; Steel'!$H$25:$H$83,H81)</f>
        <v>0</v>
      </c>
    </row>
    <row r="82" spans="2:48" x14ac:dyDescent="0.25">
      <c r="B82" s="620" t="s">
        <v>908</v>
      </c>
      <c r="C82" s="113" t="s">
        <v>175</v>
      </c>
      <c r="D82" s="113" t="s">
        <v>1337</v>
      </c>
      <c r="E82" s="113" t="s">
        <v>1380</v>
      </c>
      <c r="F82" s="113" t="s">
        <v>707</v>
      </c>
      <c r="G82" s="113" t="s">
        <v>1101</v>
      </c>
      <c r="H82" s="113" t="s">
        <v>594</v>
      </c>
      <c r="I82" s="113">
        <v>3</v>
      </c>
      <c r="J82" s="621">
        <f>SUMIFS('Iron &amp; Steel'!$O$25:$O$83,'Iron &amp; Steel'!$B$25:$B$83,C82,'Iron &amp; Steel'!$D$25:$D$83,D82,'Iron &amp; Steel'!$H$25:$H$83,H82)</f>
        <v>0.01</v>
      </c>
      <c r="O82" s="621">
        <f>SUMIFS('Iron &amp; Steel'!$R$25:$R$83,'Iron &amp; Steel'!$B$25:$B$83,C82,'Iron &amp; Steel'!$D$25:$D$83,D82,'Iron &amp; Steel'!$H$25:$H$83,H82)</f>
        <v>0</v>
      </c>
      <c r="AN82" s="622">
        <f>IF(IF(H82="UP",J82+0.1,IF(H82="LO",J82-0.1,J82))&lt;0,0,IF(H82="UP",J82+0.1,IF(H82="LO",J82-0.1,J82)))</f>
        <v>0.11</v>
      </c>
    </row>
    <row r="83" spans="2:48" x14ac:dyDescent="0.25">
      <c r="B83" s="620" t="s">
        <v>908</v>
      </c>
      <c r="C83" s="113" t="s">
        <v>540</v>
      </c>
      <c r="D83" s="113" t="s">
        <v>40</v>
      </c>
      <c r="E83" s="113" t="s">
        <v>1372</v>
      </c>
      <c r="F83" s="113" t="s">
        <v>707</v>
      </c>
      <c r="G83" s="113" t="s">
        <v>1101</v>
      </c>
      <c r="H83" s="113" t="s">
        <v>593</v>
      </c>
      <c r="I83" s="113">
        <v>3</v>
      </c>
      <c r="J83" s="621">
        <f>SUMIFS('Iron &amp; Steel'!$O$25:$O$83,'Iron &amp; Steel'!$B$25:$B$83,C83,'Iron &amp; Steel'!$D$25:$D$83,D83,'Iron &amp; Steel'!$H$25:$H$83,H83)</f>
        <v>0.45</v>
      </c>
      <c r="O83" s="621">
        <f>SUMIFS('Iron &amp; Steel'!$R$25:$R$83,'Iron &amp; Steel'!$B$25:$B$83,C83,'Iron &amp; Steel'!$D$25:$D$83,D83,'Iron &amp; Steel'!$H$25:$H$83,H83)</f>
        <v>0.74238447012267461</v>
      </c>
      <c r="AV83" s="622"/>
    </row>
    <row r="84" spans="2:48" x14ac:dyDescent="0.25">
      <c r="B84" s="620" t="s">
        <v>908</v>
      </c>
      <c r="C84" s="113" t="s">
        <v>540</v>
      </c>
      <c r="D84" s="113" t="s">
        <v>40</v>
      </c>
      <c r="E84" s="113" t="s">
        <v>1372</v>
      </c>
      <c r="F84" s="113" t="s">
        <v>707</v>
      </c>
      <c r="G84" s="113" t="s">
        <v>1101</v>
      </c>
      <c r="H84" s="113" t="s">
        <v>594</v>
      </c>
      <c r="I84" s="113">
        <v>3</v>
      </c>
      <c r="J84" s="621">
        <f>SUMIFS('Iron &amp; Steel'!$O$25:$O$83,'Iron &amp; Steel'!$B$25:$B$83,C84,'Iron &amp; Steel'!$D$25:$D$83,D84,'Iron &amp; Steel'!$H$25:$H$83,H84)</f>
        <v>0.55000000000000004</v>
      </c>
      <c r="O84" s="621">
        <f>SUMIFS('Iron &amp; Steel'!$R$25:$R$83,'Iron &amp; Steel'!$B$25:$B$83,C84,'Iron &amp; Steel'!$D$25:$D$83,D84,'Iron &amp; Steel'!$H$25:$H$83,H84)</f>
        <v>0.74980831482390131</v>
      </c>
    </row>
    <row r="85" spans="2:48" x14ac:dyDescent="0.25">
      <c r="B85" s="620" t="s">
        <v>908</v>
      </c>
      <c r="C85" s="113" t="s">
        <v>540</v>
      </c>
      <c r="D85" s="113" t="s">
        <v>39</v>
      </c>
      <c r="E85" s="113" t="s">
        <v>1372</v>
      </c>
      <c r="F85" s="113" t="s">
        <v>707</v>
      </c>
      <c r="G85" s="113" t="s">
        <v>1101</v>
      </c>
      <c r="H85" s="113" t="s">
        <v>1102</v>
      </c>
      <c r="I85" s="113">
        <v>3</v>
      </c>
      <c r="J85" s="621">
        <f>SUMIFS('Iron &amp; Steel'!$O$25:$O$83,'Iron &amp; Steel'!$B$25:$B$83,C85,'Iron &amp; Steel'!$D$25:$D$83,D85,'Iron &amp; Steel'!$H$25:$H$83,H85)</f>
        <v>0.38</v>
      </c>
      <c r="O85" s="621">
        <f>SUMIFS('Iron &amp; Steel'!$R$25:$R$83,'Iron &amp; Steel'!$B$25:$B$83,C85,'Iron &amp; Steel'!$D$25:$D$83,D85,'Iron &amp; Steel'!$H$25:$H$83,H85)</f>
        <v>0.17683462777941716</v>
      </c>
      <c r="AV85" s="622"/>
    </row>
    <row r="86" spans="2:48" x14ac:dyDescent="0.25">
      <c r="B86" s="620" t="s">
        <v>908</v>
      </c>
      <c r="C86" s="113" t="s">
        <v>540</v>
      </c>
      <c r="D86" s="113" t="s">
        <v>592</v>
      </c>
      <c r="E86" s="113" t="s">
        <v>1372</v>
      </c>
      <c r="F86" s="113" t="s">
        <v>707</v>
      </c>
      <c r="G86" s="113" t="s">
        <v>1101</v>
      </c>
      <c r="H86" s="113" t="s">
        <v>593</v>
      </c>
      <c r="I86" s="113">
        <v>3</v>
      </c>
      <c r="J86" s="621">
        <f>SUMIFS('Iron &amp; Steel'!$O$25:$O$83,'Iron &amp; Steel'!$B$25:$B$83,C86,'Iron &amp; Steel'!$D$25:$D$83,D86,'Iron &amp; Steel'!$H$25:$H$83,H86)</f>
        <v>0.06</v>
      </c>
      <c r="O86" s="621">
        <f>SUMIFS('Iron &amp; Steel'!$R$25:$R$83,'Iron &amp; Steel'!$B$25:$B$83,C86,'Iron &amp; Steel'!$D$25:$D$83,D86,'Iron &amp; Steel'!$H$25:$H$83,H86)</f>
        <v>8.2531739996714287E-2</v>
      </c>
      <c r="AV86" s="622"/>
    </row>
    <row r="87" spans="2:48" x14ac:dyDescent="0.25">
      <c r="B87" s="620" t="s">
        <v>908</v>
      </c>
      <c r="C87" s="113" t="s">
        <v>540</v>
      </c>
      <c r="D87" s="113" t="s">
        <v>592</v>
      </c>
      <c r="E87" s="113" t="s">
        <v>1372</v>
      </c>
      <c r="F87" s="113" t="s">
        <v>707</v>
      </c>
      <c r="G87" s="113" t="s">
        <v>1101</v>
      </c>
      <c r="H87" s="113" t="s">
        <v>594</v>
      </c>
      <c r="I87" s="113">
        <v>3</v>
      </c>
      <c r="J87" s="621">
        <f>SUMIFS('Iron &amp; Steel'!$O$25:$O$83,'Iron &amp; Steel'!$B$25:$B$83,C87,'Iron &amp; Steel'!$D$25:$D$83,D87,'Iron &amp; Steel'!$H$25:$H$83,H87)</f>
        <v>0.2</v>
      </c>
      <c r="O87" s="621">
        <f>SUMIFS('Iron &amp; Steel'!$R$25:$R$83,'Iron &amp; Steel'!$B$25:$B$83,C87,'Iron &amp; Steel'!$D$25:$D$83,D87,'Iron &amp; Steel'!$H$25:$H$83,H87)</f>
        <v>8.3357057396681436E-2</v>
      </c>
    </row>
    <row r="88" spans="2:48" x14ac:dyDescent="0.25">
      <c r="B88" s="620" t="s">
        <v>908</v>
      </c>
      <c r="C88" s="113" t="s">
        <v>540</v>
      </c>
      <c r="D88" s="113" t="s">
        <v>1337</v>
      </c>
      <c r="E88" s="113" t="s">
        <v>1372</v>
      </c>
      <c r="F88" s="113" t="s">
        <v>707</v>
      </c>
      <c r="G88" s="113" t="s">
        <v>1101</v>
      </c>
      <c r="H88" s="113" t="s">
        <v>593</v>
      </c>
      <c r="I88" s="113">
        <v>3</v>
      </c>
      <c r="J88" s="621">
        <f>SUMIFS('Iron &amp; Steel'!$O$25:$O$83,'Iron &amp; Steel'!$B$25:$B$83,C88,'Iron &amp; Steel'!$D$25:$D$83,D88,'Iron &amp; Steel'!$H$25:$H$83,H88)</f>
        <v>0.01</v>
      </c>
      <c r="O88" s="621">
        <f>SUMIFS('Iron &amp; Steel'!$R$25:$R$83,'Iron &amp; Steel'!$B$25:$B$83,C88,'Iron &amp; Steel'!$D$25:$D$83,D88,'Iron &amp; Steel'!$H$25:$H$83,H88)</f>
        <v>0</v>
      </c>
      <c r="AV88" s="622"/>
    </row>
    <row r="89" spans="2:48" x14ac:dyDescent="0.25">
      <c r="B89" s="620" t="s">
        <v>908</v>
      </c>
      <c r="C89" s="113" t="s">
        <v>540</v>
      </c>
      <c r="D89" s="113" t="s">
        <v>1337</v>
      </c>
      <c r="E89" s="113" t="s">
        <v>1372</v>
      </c>
      <c r="F89" s="113" t="s">
        <v>707</v>
      </c>
      <c r="G89" s="113" t="s">
        <v>1101</v>
      </c>
      <c r="H89" s="113" t="s">
        <v>594</v>
      </c>
      <c r="I89" s="113">
        <v>3</v>
      </c>
      <c r="J89" s="621">
        <f>SUMIFS('Iron &amp; Steel'!$O$25:$O$83,'Iron &amp; Steel'!$B$25:$B$83,C89,'Iron &amp; Steel'!$D$25:$D$83,D89,'Iron &amp; Steel'!$H$25:$H$83,H89)</f>
        <v>0.15</v>
      </c>
      <c r="O89" s="621">
        <f>SUMIFS('Iron &amp; Steel'!$R$25:$R$83,'Iron &amp; Steel'!$B$25:$B$83,C89,'Iron &amp; Steel'!$D$25:$D$83,D89,'Iron &amp; Steel'!$H$25:$H$83,H89)</f>
        <v>0</v>
      </c>
    </row>
    <row r="90" spans="2:48" x14ac:dyDescent="0.25">
      <c r="B90" s="620" t="s">
        <v>908</v>
      </c>
      <c r="C90" s="113" t="s">
        <v>541</v>
      </c>
      <c r="D90" s="113" t="s">
        <v>39</v>
      </c>
      <c r="E90" s="113" t="s">
        <v>1376</v>
      </c>
      <c r="F90" s="113" t="s">
        <v>707</v>
      </c>
      <c r="G90" s="113" t="s">
        <v>1101</v>
      </c>
      <c r="H90" s="113" t="s">
        <v>1102</v>
      </c>
      <c r="I90" s="113">
        <v>3</v>
      </c>
      <c r="J90" s="621">
        <f>SUMIFS('Iron &amp; Steel'!$O$25:$O$83,'Iron &amp; Steel'!$B$25:$B$83,C90,'Iron &amp; Steel'!$D$25:$D$83,D90,'Iron &amp; Steel'!$H$25:$H$83,H90)</f>
        <v>0.38</v>
      </c>
      <c r="O90" s="621">
        <f>SUMIFS('Iron &amp; Steel'!$R$25:$R$83,'Iron &amp; Steel'!$B$25:$B$83,C90,'Iron &amp; Steel'!$D$25:$D$83,D90,'Iron &amp; Steel'!$H$25:$H$83,H90)</f>
        <v>0.38</v>
      </c>
      <c r="AV90" s="622"/>
    </row>
    <row r="91" spans="2:48" x14ac:dyDescent="0.25">
      <c r="B91" s="620" t="s">
        <v>908</v>
      </c>
      <c r="C91" s="113" t="s">
        <v>541</v>
      </c>
      <c r="D91" s="113" t="s">
        <v>592</v>
      </c>
      <c r="E91" s="113" t="s">
        <v>1376</v>
      </c>
      <c r="F91" s="113" t="s">
        <v>707</v>
      </c>
      <c r="G91" s="113" t="s">
        <v>1101</v>
      </c>
      <c r="H91" s="113" t="s">
        <v>1102</v>
      </c>
      <c r="I91" s="113">
        <v>3</v>
      </c>
      <c r="J91" s="621">
        <f>SUMIFS('Iron &amp; Steel'!$O$25:$O$83,'Iron &amp; Steel'!$B$25:$B$83,C91,'Iron &amp; Steel'!$D$25:$D$83,D91,'Iron &amp; Steel'!$H$25:$H$83,H91)</f>
        <v>0.61</v>
      </c>
      <c r="O91" s="621">
        <f>SUMIFS('Iron &amp; Steel'!$R$25:$R$83,'Iron &amp; Steel'!$B$25:$B$83,C91,'Iron &amp; Steel'!$D$25:$D$83,D91,'Iron &amp; Steel'!$H$25:$H$83,H91)</f>
        <v>0.61</v>
      </c>
      <c r="AV91" s="622"/>
    </row>
    <row r="92" spans="2:48" x14ac:dyDescent="0.25">
      <c r="B92" s="620" t="s">
        <v>908</v>
      </c>
      <c r="C92" s="113" t="s">
        <v>541</v>
      </c>
      <c r="D92" s="113" t="s">
        <v>1337</v>
      </c>
      <c r="E92" s="113" t="s">
        <v>1376</v>
      </c>
      <c r="F92" s="113" t="s">
        <v>707</v>
      </c>
      <c r="G92" s="113" t="s">
        <v>1101</v>
      </c>
      <c r="H92" s="113" t="s">
        <v>1102</v>
      </c>
      <c r="I92" s="113">
        <v>3</v>
      </c>
      <c r="J92" s="621">
        <f>SUMIFS('Iron &amp; Steel'!$O$25:$O$83,'Iron &amp; Steel'!$B$25:$B$83,C92,'Iron &amp; Steel'!$D$25:$D$83,D92,'Iron &amp; Steel'!$H$25:$H$83,H92)</f>
        <v>0.01</v>
      </c>
      <c r="O92" s="621">
        <f>SUMIFS('Iron &amp; Steel'!$R$25:$R$83,'Iron &amp; Steel'!$B$25:$B$83,C92,'Iron &amp; Steel'!$D$25:$D$83,D92,'Iron &amp; Steel'!$H$25:$H$83,H92)</f>
        <v>0.01</v>
      </c>
      <c r="AV92" s="622"/>
    </row>
    <row r="93" spans="2:48" x14ac:dyDescent="0.25">
      <c r="B93" s="620" t="s">
        <v>908</v>
      </c>
      <c r="C93" s="113" t="s">
        <v>179</v>
      </c>
      <c r="D93" s="113" t="s">
        <v>43</v>
      </c>
      <c r="E93" s="113" t="s">
        <v>1368</v>
      </c>
      <c r="F93" s="113" t="s">
        <v>707</v>
      </c>
      <c r="G93" s="113" t="s">
        <v>1101</v>
      </c>
      <c r="H93" s="113" t="s">
        <v>1102</v>
      </c>
      <c r="I93" s="113">
        <v>3</v>
      </c>
      <c r="J93" s="621">
        <f>SUMIFS('Iron &amp; Steel'!$O$25:$O$83,'Iron &amp; Steel'!$B$25:$B$83,C93,'Iron &amp; Steel'!$D$25:$D$83,D93,'Iron &amp; Steel'!$H$25:$H$83,H93)</f>
        <v>0</v>
      </c>
      <c r="O93" s="621">
        <f>SUMIFS('Iron &amp; Steel'!$R$25:$R$83,'Iron &amp; Steel'!$B$25:$B$83,C93,'Iron &amp; Steel'!$D$25:$D$83,D93,'Iron &amp; Steel'!$H$25:$H$83,H93)</f>
        <v>0</v>
      </c>
    </row>
    <row r="94" spans="2:48" x14ac:dyDescent="0.25">
      <c r="B94" s="620" t="s">
        <v>908</v>
      </c>
      <c r="C94" s="113" t="s">
        <v>179</v>
      </c>
      <c r="D94" s="113" t="s">
        <v>40</v>
      </c>
      <c r="E94" s="113" t="s">
        <v>1368</v>
      </c>
      <c r="F94" s="113" t="s">
        <v>707</v>
      </c>
      <c r="G94" s="113" t="s">
        <v>1101</v>
      </c>
      <c r="H94" s="113" t="s">
        <v>1102</v>
      </c>
      <c r="I94" s="113">
        <v>3</v>
      </c>
      <c r="J94" s="621">
        <f>SUMIFS('Iron &amp; Steel'!$O$25:$O$83,'Iron &amp; Steel'!$B$25:$B$83,C94,'Iron &amp; Steel'!$D$25:$D$83,D94,'Iron &amp; Steel'!$H$25:$H$83,H94)</f>
        <v>0.55590957104118222</v>
      </c>
      <c r="O94" s="621">
        <f>SUMIFS('Iron &amp; Steel'!$R$25:$R$83,'Iron &amp; Steel'!$B$25:$B$83,C94,'Iron &amp; Steel'!$D$25:$D$83,D94,'Iron &amp; Steel'!$H$25:$H$83,H94)</f>
        <v>0.46615384615384614</v>
      </c>
    </row>
    <row r="95" spans="2:48" x14ac:dyDescent="0.25">
      <c r="B95" s="620" t="s">
        <v>908</v>
      </c>
      <c r="C95" s="113" t="s">
        <v>179</v>
      </c>
      <c r="D95" s="113" t="s">
        <v>39</v>
      </c>
      <c r="E95" s="113" t="s">
        <v>1368</v>
      </c>
      <c r="F95" s="113" t="s">
        <v>707</v>
      </c>
      <c r="G95" s="113" t="s">
        <v>1101</v>
      </c>
      <c r="H95" s="113" t="s">
        <v>1102</v>
      </c>
      <c r="I95" s="113">
        <v>3</v>
      </c>
      <c r="J95" s="621">
        <f>SUMIFS('Iron &amp; Steel'!$O$25:$O$83,'Iron &amp; Steel'!$B$25:$B$83,C95,'Iron &amp; Steel'!$D$25:$D$83,D95,'Iron &amp; Steel'!$H$25:$H$83,H95)</f>
        <v>0.41320656390097438</v>
      </c>
      <c r="O95" s="621">
        <f>SUMIFS('Iron &amp; Steel'!$R$25:$R$83,'Iron &amp; Steel'!$B$25:$B$83,C95,'Iron &amp; Steel'!$D$25:$D$83,D95,'Iron &amp; Steel'!$H$25:$H$83,H95)</f>
        <v>0.46615384615384614</v>
      </c>
    </row>
    <row r="96" spans="2:48" x14ac:dyDescent="0.25">
      <c r="B96" s="620" t="s">
        <v>908</v>
      </c>
      <c r="C96" s="113" t="s">
        <v>179</v>
      </c>
      <c r="D96" s="113" t="s">
        <v>592</v>
      </c>
      <c r="E96" s="113" t="s">
        <v>1368</v>
      </c>
      <c r="F96" s="113" t="s">
        <v>707</v>
      </c>
      <c r="G96" s="113" t="s">
        <v>1101</v>
      </c>
      <c r="H96" s="113" t="s">
        <v>1102</v>
      </c>
      <c r="I96" s="113">
        <v>3</v>
      </c>
      <c r="J96" s="621">
        <f>SUMIFS('Iron &amp; Steel'!$O$25:$O$83,'Iron &amp; Steel'!$B$25:$B$83,C96,'Iron &amp; Steel'!$D$25:$D$83,D96,'Iron &amp; Steel'!$H$25:$H$83,H96)</f>
        <v>3.0883865057843445E-2</v>
      </c>
      <c r="O96" s="621">
        <f>SUMIFS('Iron &amp; Steel'!$R$25:$R$83,'Iron &amp; Steel'!$B$25:$B$83,C96,'Iron &amp; Steel'!$D$25:$D$83,D96,'Iron &amp; Steel'!$H$25:$H$83,H96)</f>
        <v>7.7692307692307686E-2</v>
      </c>
    </row>
    <row r="97" spans="2:48" x14ac:dyDescent="0.25">
      <c r="B97" s="620" t="s">
        <v>908</v>
      </c>
      <c r="C97" s="113" t="s">
        <v>179</v>
      </c>
      <c r="D97" s="113" t="s">
        <v>1337</v>
      </c>
      <c r="E97" s="113" t="s">
        <v>1368</v>
      </c>
      <c r="F97" s="113" t="s">
        <v>707</v>
      </c>
      <c r="G97" s="113" t="s">
        <v>1101</v>
      </c>
      <c r="H97" s="113" t="s">
        <v>1102</v>
      </c>
      <c r="I97" s="113">
        <v>3</v>
      </c>
      <c r="J97" s="621">
        <f>SUMIFS('Iron &amp; Steel'!$O$25:$O$83,'Iron &amp; Steel'!$B$25:$B$83,C97,'Iron &amp; Steel'!$D$25:$D$83,D97,'Iron &amp; Steel'!$H$25:$H$83,H97)</f>
        <v>0</v>
      </c>
      <c r="O97" s="621">
        <f>SUMIFS('Iron &amp; Steel'!$R$25:$R$83,'Iron &amp; Steel'!$B$25:$B$83,C97,'Iron &amp; Steel'!$D$25:$D$83,D97,'Iron &amp; Steel'!$H$25:$H$83,H97)</f>
        <v>0</v>
      </c>
    </row>
    <row r="98" spans="2:48" x14ac:dyDescent="0.25">
      <c r="B98" s="620" t="s">
        <v>908</v>
      </c>
      <c r="C98" s="113" t="s">
        <v>181</v>
      </c>
      <c r="D98" s="113" t="s">
        <v>40</v>
      </c>
      <c r="E98" s="113" t="s">
        <v>1360</v>
      </c>
      <c r="F98" s="113" t="s">
        <v>707</v>
      </c>
      <c r="G98" s="113" t="s">
        <v>1101</v>
      </c>
      <c r="H98" s="113" t="s">
        <v>593</v>
      </c>
      <c r="I98" s="113">
        <v>3</v>
      </c>
      <c r="J98" s="621">
        <f>SUMIFS('Iron &amp; Steel'!$O$25:$O$83,'Iron &amp; Steel'!$B$25:$B$83,C98,'Iron &amp; Steel'!$D$25:$D$83,D98,'Iron &amp; Steel'!$H$25:$H$83,H98)</f>
        <v>0.25</v>
      </c>
      <c r="O98" s="621">
        <f>SUMIFS('Iron &amp; Steel'!$R$25:$R$83,'Iron &amp; Steel'!$B$25:$B$83,C98,'Iron &amp; Steel'!$D$25:$D$83,D98,'Iron &amp; Steel'!$H$25:$H$83,H98)</f>
        <v>0</v>
      </c>
      <c r="AN98" s="622">
        <f>IF(IF(H98="UP",J98+0.1,IF(H98="LO",J98-0.1,J98))&lt;0,0,IF(H98="UP",J98+0.1,IF(H98="LO",J98-0.1,J98)))</f>
        <v>0.15</v>
      </c>
    </row>
    <row r="99" spans="2:48" x14ac:dyDescent="0.25">
      <c r="B99" s="620" t="s">
        <v>908</v>
      </c>
      <c r="C99" s="113" t="s">
        <v>181</v>
      </c>
      <c r="D99" s="113" t="s">
        <v>40</v>
      </c>
      <c r="E99" s="113" t="s">
        <v>1360</v>
      </c>
      <c r="F99" s="113" t="s">
        <v>707</v>
      </c>
      <c r="G99" s="113" t="s">
        <v>1101</v>
      </c>
      <c r="H99" s="113" t="s">
        <v>594</v>
      </c>
      <c r="I99" s="113">
        <v>3</v>
      </c>
      <c r="J99" s="621">
        <f>SUMIFS('Iron &amp; Steel'!$O$25:$O$83,'Iron &amp; Steel'!$B$25:$B$83,C99,'Iron &amp; Steel'!$D$25:$D$83,D99,'Iron &amp; Steel'!$H$25:$H$83,H99)</f>
        <v>0.25</v>
      </c>
      <c r="O99" s="621">
        <f>SUMIFS('Iron &amp; Steel'!$R$25:$R$83,'Iron &amp; Steel'!$B$25:$B$83,C99,'Iron &amp; Steel'!$D$25:$D$83,D99,'Iron &amp; Steel'!$H$25:$H$83,H99)</f>
        <v>0</v>
      </c>
    </row>
    <row r="100" spans="2:48" x14ac:dyDescent="0.25">
      <c r="B100" s="620" t="s">
        <v>908</v>
      </c>
      <c r="C100" s="113" t="s">
        <v>181</v>
      </c>
      <c r="D100" s="113" t="s">
        <v>39</v>
      </c>
      <c r="E100" s="113" t="s">
        <v>1360</v>
      </c>
      <c r="F100" s="113" t="s">
        <v>707</v>
      </c>
      <c r="G100" s="113" t="s">
        <v>1101</v>
      </c>
      <c r="H100" s="113" t="s">
        <v>1102</v>
      </c>
      <c r="I100" s="113">
        <v>3</v>
      </c>
      <c r="J100" s="621">
        <f>SUMIFS('Iron &amp; Steel'!$O$25:$O$83,'Iron &amp; Steel'!$B$25:$B$83,C100,'Iron &amp; Steel'!$D$25:$D$83,D100,'Iron &amp; Steel'!$H$25:$H$83,H100)</f>
        <v>0.75</v>
      </c>
      <c r="O100" s="621">
        <f>SUMIFS('Iron &amp; Steel'!$R$25:$R$83,'Iron &amp; Steel'!$B$25:$B$83,C100,'Iron &amp; Steel'!$D$25:$D$83,D100,'Iron &amp; Steel'!$H$25:$H$83,H100)</f>
        <v>0.75232645919226548</v>
      </c>
    </row>
    <row r="101" spans="2:48" x14ac:dyDescent="0.25">
      <c r="B101" s="620" t="s">
        <v>908</v>
      </c>
      <c r="C101" s="113" t="s">
        <v>181</v>
      </c>
      <c r="D101" s="113" t="s">
        <v>592</v>
      </c>
      <c r="E101" s="113" t="s">
        <v>1360</v>
      </c>
      <c r="F101" s="113" t="s">
        <v>707</v>
      </c>
      <c r="G101" s="113" t="s">
        <v>1101</v>
      </c>
      <c r="H101" s="113" t="s">
        <v>593</v>
      </c>
      <c r="I101" s="113">
        <v>3</v>
      </c>
      <c r="J101" s="621">
        <f>SUMIFS('Iron &amp; Steel'!$O$25:$O$83,'Iron &amp; Steel'!$B$25:$B$83,C101,'Iron &amp; Steel'!$D$25:$D$83,D101,'Iron &amp; Steel'!$H$25:$H$83,H101)</f>
        <v>0</v>
      </c>
      <c r="O101" s="621">
        <f>SUMIFS('Iron &amp; Steel'!$R$25:$R$83,'Iron &amp; Steel'!$B$25:$B$83,C101,'Iron &amp; Steel'!$D$25:$D$83,D101,'Iron &amp; Steel'!$H$25:$H$83,H101)</f>
        <v>0.12649141802067926</v>
      </c>
    </row>
    <row r="102" spans="2:48" x14ac:dyDescent="0.25">
      <c r="B102" s="620" t="s">
        <v>908</v>
      </c>
      <c r="C102" s="113" t="s">
        <v>181</v>
      </c>
      <c r="D102" s="113" t="s">
        <v>592</v>
      </c>
      <c r="E102" s="113" t="s">
        <v>1360</v>
      </c>
      <c r="F102" s="113" t="s">
        <v>707</v>
      </c>
      <c r="G102" s="113" t="s">
        <v>1101</v>
      </c>
      <c r="H102" s="113" t="s">
        <v>594</v>
      </c>
      <c r="I102" s="113">
        <v>3</v>
      </c>
      <c r="J102" s="621">
        <f>SUMIFS('Iron &amp; Steel'!$O$25:$O$83,'Iron &amp; Steel'!$B$25:$B$83,C102,'Iron &amp; Steel'!$D$25:$D$83,D102,'Iron &amp; Steel'!$H$25:$H$83,H102)</f>
        <v>0</v>
      </c>
      <c r="O102" s="621">
        <f>SUMIFS('Iron &amp; Steel'!$R$25:$R$83,'Iron &amp; Steel'!$B$25:$B$83,C102,'Iron &amp; Steel'!$D$25:$D$83,D102,'Iron &amp; Steel'!$H$25:$H$83,H102)</f>
        <v>0.12775633220088606</v>
      </c>
      <c r="AN102" s="622">
        <f>IF(IF(H102="UP",J102+0.1,IF(H102="LO",J102-0.1,J102))&lt;0,0,IF(H102="UP",J102+0.1,IF(H102="LO",J102-0.1,J102)))</f>
        <v>0.1</v>
      </c>
    </row>
    <row r="103" spans="2:48" x14ac:dyDescent="0.25">
      <c r="B103" s="620" t="s">
        <v>908</v>
      </c>
      <c r="C103" s="113" t="s">
        <v>181</v>
      </c>
      <c r="D103" s="113" t="s">
        <v>1337</v>
      </c>
      <c r="E103" s="113" t="s">
        <v>1360</v>
      </c>
      <c r="F103" s="113" t="s">
        <v>707</v>
      </c>
      <c r="G103" s="113" t="s">
        <v>1101</v>
      </c>
      <c r="H103" s="113" t="s">
        <v>593</v>
      </c>
      <c r="I103" s="113">
        <v>3</v>
      </c>
      <c r="J103" s="621">
        <f>SUMIFS('Iron &amp; Steel'!$O$25:$O$83,'Iron &amp; Steel'!$B$25:$B$83,C103,'Iron &amp; Steel'!$D$25:$D$83,D103,'Iron &amp; Steel'!$H$25:$H$83,H103)</f>
        <v>0</v>
      </c>
      <c r="O103" s="621">
        <f>SUMIFS('Iron &amp; Steel'!$R$25:$R$83,'Iron &amp; Steel'!$B$25:$B$83,C103,'Iron &amp; Steel'!$D$25:$D$83,D103,'Iron &amp; Steel'!$H$25:$H$83,H103)</f>
        <v>0</v>
      </c>
    </row>
    <row r="104" spans="2:48" x14ac:dyDescent="0.25">
      <c r="B104" s="620" t="s">
        <v>908</v>
      </c>
      <c r="C104" s="113" t="s">
        <v>181</v>
      </c>
      <c r="D104" s="113" t="s">
        <v>1337</v>
      </c>
      <c r="E104" s="113" t="s">
        <v>1360</v>
      </c>
      <c r="F104" s="113" t="s">
        <v>707</v>
      </c>
      <c r="G104" s="113" t="s">
        <v>1101</v>
      </c>
      <c r="H104" s="113" t="s">
        <v>594</v>
      </c>
      <c r="I104" s="113">
        <v>3</v>
      </c>
      <c r="J104" s="621">
        <f>SUMIFS('Iron &amp; Steel'!$O$25:$O$83,'Iron &amp; Steel'!$B$25:$B$83,C104,'Iron &amp; Steel'!$D$25:$D$83,D104,'Iron &amp; Steel'!$H$25:$H$83,H104)</f>
        <v>0</v>
      </c>
      <c r="O104" s="621">
        <f>SUMIFS('Iron &amp; Steel'!$R$25:$R$83,'Iron &amp; Steel'!$B$25:$B$83,C104,'Iron &amp; Steel'!$D$25:$D$83,D104,'Iron &amp; Steel'!$H$25:$H$83,H104)</f>
        <v>0</v>
      </c>
      <c r="AN104" s="622">
        <f>IF(IF(H104="UP",J104+0.1,IF(H104="LO",J104-0.1,J104))&lt;0,0,IF(H104="UP",J104+0.1,IF(H104="LO",J104-0.1,J104)))</f>
        <v>0.1</v>
      </c>
    </row>
    <row r="105" spans="2:48" x14ac:dyDescent="0.25">
      <c r="B105" s="620" t="s">
        <v>908</v>
      </c>
      <c r="C105" s="113" t="s">
        <v>542</v>
      </c>
      <c r="D105" s="113" t="s">
        <v>40</v>
      </c>
      <c r="E105" s="113" t="s">
        <v>1356</v>
      </c>
      <c r="F105" s="113" t="s">
        <v>707</v>
      </c>
      <c r="G105" s="113" t="s">
        <v>1101</v>
      </c>
      <c r="H105" s="113" t="s">
        <v>593</v>
      </c>
      <c r="I105" s="113">
        <v>3</v>
      </c>
      <c r="J105" s="621">
        <f>SUMIFS('Iron &amp; Steel'!$O$25:$O$83,'Iron &amp; Steel'!$B$25:$B$83,C105,'Iron &amp; Steel'!$D$25:$D$83,D105,'Iron &amp; Steel'!$H$25:$H$83,H105)</f>
        <v>0.05</v>
      </c>
      <c r="O105" s="621">
        <f>SUMIFS('Iron &amp; Steel'!$R$25:$R$83,'Iron &amp; Steel'!$B$25:$B$83,C105,'Iron &amp; Steel'!$D$25:$D$83,D105,'Iron &amp; Steel'!$H$25:$H$83,H105)</f>
        <v>0</v>
      </c>
      <c r="AV105" s="622"/>
    </row>
    <row r="106" spans="2:48" x14ac:dyDescent="0.25">
      <c r="B106" s="620" t="s">
        <v>908</v>
      </c>
      <c r="C106" s="113" t="s">
        <v>542</v>
      </c>
      <c r="D106" s="113" t="s">
        <v>40</v>
      </c>
      <c r="E106" s="113" t="s">
        <v>1356</v>
      </c>
      <c r="F106" s="113" t="s">
        <v>707</v>
      </c>
      <c r="G106" s="113" t="s">
        <v>1101</v>
      </c>
      <c r="H106" s="113" t="s">
        <v>594</v>
      </c>
      <c r="I106" s="113">
        <v>3</v>
      </c>
      <c r="J106" s="621">
        <f>SUMIFS('Iron &amp; Steel'!$O$25:$O$83,'Iron &amp; Steel'!$B$25:$B$83,C106,'Iron &amp; Steel'!$D$25:$D$83,D106,'Iron &amp; Steel'!$H$25:$H$83,H106)</f>
        <v>0.25</v>
      </c>
      <c r="O106" s="621">
        <f>SUMIFS('Iron &amp; Steel'!$R$25:$R$83,'Iron &amp; Steel'!$B$25:$B$83,C106,'Iron &amp; Steel'!$D$25:$D$83,D106,'Iron &amp; Steel'!$H$25:$H$83,H106)</f>
        <v>0</v>
      </c>
    </row>
    <row r="107" spans="2:48" x14ac:dyDescent="0.25">
      <c r="B107" s="620" t="s">
        <v>908</v>
      </c>
      <c r="C107" s="113" t="s">
        <v>542</v>
      </c>
      <c r="D107" s="113" t="s">
        <v>39</v>
      </c>
      <c r="E107" s="113" t="s">
        <v>1356</v>
      </c>
      <c r="F107" s="113" t="s">
        <v>707</v>
      </c>
      <c r="G107" s="113" t="s">
        <v>1101</v>
      </c>
      <c r="H107" s="113" t="s">
        <v>1102</v>
      </c>
      <c r="I107" s="113">
        <v>3</v>
      </c>
      <c r="J107" s="621">
        <f>SUMIFS('Iron &amp; Steel'!$O$25:$O$83,'Iron &amp; Steel'!$B$25:$B$83,C107,'Iron &amp; Steel'!$D$25:$D$83,D107,'Iron &amp; Steel'!$H$25:$H$83,H107)</f>
        <v>0.75</v>
      </c>
      <c r="O107" s="621">
        <f>SUMIFS('Iron &amp; Steel'!$R$25:$R$83,'Iron &amp; Steel'!$B$25:$B$83,C107,'Iron &amp; Steel'!$D$25:$D$83,D107,'Iron &amp; Steel'!$H$25:$H$83,H107)</f>
        <v>0.75232645919226548</v>
      </c>
    </row>
    <row r="108" spans="2:48" x14ac:dyDescent="0.25">
      <c r="B108" s="620" t="s">
        <v>908</v>
      </c>
      <c r="C108" s="113" t="s">
        <v>542</v>
      </c>
      <c r="D108" s="113" t="s">
        <v>592</v>
      </c>
      <c r="E108" s="113" t="s">
        <v>1356</v>
      </c>
      <c r="F108" s="113" t="s">
        <v>707</v>
      </c>
      <c r="G108" s="113" t="s">
        <v>1101</v>
      </c>
      <c r="H108" s="113" t="s">
        <v>593</v>
      </c>
      <c r="I108" s="113">
        <v>3</v>
      </c>
      <c r="J108" s="621">
        <f>SUMIFS('Iron &amp; Steel'!$O$25:$O$83,'Iron &amp; Steel'!$B$25:$B$83,C108,'Iron &amp; Steel'!$D$25:$D$83,D108,'Iron &amp; Steel'!$H$25:$H$83,H108)</f>
        <v>0</v>
      </c>
      <c r="O108" s="621">
        <f>SUMIFS('Iron &amp; Steel'!$R$25:$R$83,'Iron &amp; Steel'!$B$25:$B$83,C108,'Iron &amp; Steel'!$D$25:$D$83,D108,'Iron &amp; Steel'!$H$25:$H$83,H108)</f>
        <v>0.12649141802067926</v>
      </c>
      <c r="AV108" s="622"/>
    </row>
    <row r="109" spans="2:48" x14ac:dyDescent="0.25">
      <c r="B109" s="620" t="s">
        <v>908</v>
      </c>
      <c r="C109" s="113" t="s">
        <v>542</v>
      </c>
      <c r="D109" s="113" t="s">
        <v>592</v>
      </c>
      <c r="E109" s="113" t="s">
        <v>1356</v>
      </c>
      <c r="F109" s="113" t="s">
        <v>707</v>
      </c>
      <c r="G109" s="113" t="s">
        <v>1101</v>
      </c>
      <c r="H109" s="113" t="s">
        <v>594</v>
      </c>
      <c r="I109" s="113">
        <v>3</v>
      </c>
      <c r="J109" s="621">
        <f>SUMIFS('Iron &amp; Steel'!$O$25:$O$83,'Iron &amp; Steel'!$B$25:$B$83,C109,'Iron &amp; Steel'!$D$25:$D$83,D109,'Iron &amp; Steel'!$H$25:$H$83,H109)</f>
        <v>0.2</v>
      </c>
      <c r="O109" s="621">
        <f>SUMIFS('Iron &amp; Steel'!$R$25:$R$83,'Iron &amp; Steel'!$B$25:$B$83,C109,'Iron &amp; Steel'!$D$25:$D$83,D109,'Iron &amp; Steel'!$H$25:$H$83,H109)</f>
        <v>0.12775633220088606</v>
      </c>
    </row>
    <row r="110" spans="2:48" x14ac:dyDescent="0.25">
      <c r="B110" s="620" t="s">
        <v>908</v>
      </c>
      <c r="C110" s="113" t="s">
        <v>542</v>
      </c>
      <c r="D110" s="113" t="s">
        <v>1337</v>
      </c>
      <c r="E110" s="113" t="s">
        <v>1356</v>
      </c>
      <c r="F110" s="113" t="s">
        <v>707</v>
      </c>
      <c r="G110" s="113" t="s">
        <v>1101</v>
      </c>
      <c r="H110" s="113" t="s">
        <v>593</v>
      </c>
      <c r="I110" s="113">
        <v>3</v>
      </c>
      <c r="J110" s="621">
        <f>SUMIFS('Iron &amp; Steel'!$O$25:$O$83,'Iron &amp; Steel'!$B$25:$B$83,C110,'Iron &amp; Steel'!$D$25:$D$83,D110,'Iron &amp; Steel'!$H$25:$H$83,H110)</f>
        <v>0</v>
      </c>
      <c r="O110" s="621">
        <f>SUMIFS('Iron &amp; Steel'!$R$25:$R$83,'Iron &amp; Steel'!$B$25:$B$83,C110,'Iron &amp; Steel'!$D$25:$D$83,D110,'Iron &amp; Steel'!$H$25:$H$83,H110)</f>
        <v>0</v>
      </c>
      <c r="AV110" s="622"/>
    </row>
    <row r="111" spans="2:48" x14ac:dyDescent="0.25">
      <c r="B111" s="620" t="s">
        <v>908</v>
      </c>
      <c r="C111" s="620" t="s">
        <v>542</v>
      </c>
      <c r="D111" s="620" t="s">
        <v>1337</v>
      </c>
      <c r="E111" s="620" t="s">
        <v>1356</v>
      </c>
      <c r="F111" s="620" t="s">
        <v>707</v>
      </c>
      <c r="G111" s="620" t="s">
        <v>1101</v>
      </c>
      <c r="H111" s="620" t="s">
        <v>594</v>
      </c>
      <c r="I111" s="113">
        <v>3</v>
      </c>
      <c r="J111" s="621">
        <f>SUMIFS('Iron &amp; Steel'!$O$25:$O$83,'Iron &amp; Steel'!$B$25:$B$83,C111,'Iron &amp; Steel'!$D$25:$D$83,D111,'Iron &amp; Steel'!$H$25:$H$83,H111)</f>
        <v>0.2</v>
      </c>
      <c r="O111" s="621">
        <f>SUMIFS('Iron &amp; Steel'!$R$25:$R$83,'Iron &amp; Steel'!$B$25:$B$83,C111,'Iron &amp; Steel'!$D$25:$D$83,D111,'Iron &amp; Steel'!$H$25:$H$83,H111)</f>
        <v>0</v>
      </c>
      <c r="AN111" s="622"/>
    </row>
    <row r="112" spans="2:48" x14ac:dyDescent="0.25">
      <c r="B112" s="620" t="s">
        <v>1453</v>
      </c>
      <c r="C112" s="113" t="s">
        <v>170</v>
      </c>
      <c r="D112" s="113" t="s">
        <v>707</v>
      </c>
      <c r="E112" s="113" t="s">
        <v>707</v>
      </c>
      <c r="F112" s="113" t="s">
        <v>707</v>
      </c>
      <c r="G112" s="113" t="s">
        <v>1101</v>
      </c>
      <c r="H112" s="113" t="s">
        <v>1102</v>
      </c>
      <c r="I112" s="113">
        <v>-1</v>
      </c>
      <c r="J112" s="623">
        <f>SUMIFS('Iron &amp; Steel'!$S$13:$S$17,'Iron &amp; Steel'!$L$13:$L$17,'IS-TSData'!C112)</f>
        <v>3.3</v>
      </c>
      <c r="K112" s="621">
        <f>'Iron &amp; Steel'!AG13</f>
        <v>3.3760806916426511</v>
      </c>
      <c r="L112" s="621">
        <f>'Iron &amp; Steel'!AH13</f>
        <v>3.0907780979827089</v>
      </c>
      <c r="M112" s="621">
        <f>'Iron &amp; Steel'!AI13</f>
        <v>3.1641891891891891</v>
      </c>
      <c r="N112" s="621">
        <f>'Iron &amp; Steel'!AJ13</f>
        <v>3.1641891891891891</v>
      </c>
      <c r="O112" s="621">
        <f>'Iron &amp; Steel'!AK13</f>
        <v>3.0330810810810807</v>
      </c>
      <c r="P112" s="621">
        <f>'Iron &amp; Steel'!AL13</f>
        <v>3.2032972972972971</v>
      </c>
      <c r="Q112" s="621">
        <f>'Iron &amp; Steel'!AM13</f>
        <v>3.0300947810555652</v>
      </c>
      <c r="R112" s="621">
        <f>'Iron &amp; Steel'!AN13</f>
        <v>3.0300947810555652</v>
      </c>
      <c r="AN112" s="622"/>
    </row>
    <row r="113" spans="2:40" x14ac:dyDescent="0.25">
      <c r="B113" s="620" t="s">
        <v>1453</v>
      </c>
      <c r="C113" s="113" t="s">
        <v>172</v>
      </c>
      <c r="D113" s="113" t="s">
        <v>707</v>
      </c>
      <c r="E113" s="113" t="s">
        <v>707</v>
      </c>
      <c r="F113" s="113" t="s">
        <v>707</v>
      </c>
      <c r="G113" s="113" t="s">
        <v>1101</v>
      </c>
      <c r="H113" s="113" t="s">
        <v>1102</v>
      </c>
      <c r="I113" s="113">
        <v>-1</v>
      </c>
      <c r="J113" s="623">
        <f>SUMIFS('Iron &amp; Steel'!$S$13:$S$17,'Iron &amp; Steel'!$L$13:$L$17,'IS-TSData'!C113)</f>
        <v>1.21</v>
      </c>
      <c r="K113" s="621">
        <f>'Iron &amp; Steel'!AG14</f>
        <v>1.2378962536023055</v>
      </c>
      <c r="L113" s="621">
        <f>'Iron &amp; Steel'!AH14</f>
        <v>1.13328530259366</v>
      </c>
      <c r="M113" s="621">
        <f>'Iron &amp; Steel'!AI14</f>
        <v>0.96299999999999997</v>
      </c>
      <c r="N113" s="621">
        <f>'Iron &amp; Steel'!AJ14</f>
        <v>0.83199999999999996</v>
      </c>
      <c r="O113" s="621">
        <f>'Iron &amp; Steel'!AK14</f>
        <v>1.1180000000000001</v>
      </c>
      <c r="P113" s="621">
        <f>'Iron &amp; Steel'!AL14</f>
        <v>1.0860000000000001</v>
      </c>
      <c r="Q113" s="621">
        <f>'Iron &amp; Steel'!AM14</f>
        <v>1.0860000000000001</v>
      </c>
      <c r="R113" s="621">
        <f>'Iron &amp; Steel'!AN14</f>
        <v>0</v>
      </c>
      <c r="S113" s="621">
        <f>'Iron &amp; Steel'!AO14</f>
        <v>0</v>
      </c>
      <c r="AN113" s="622"/>
    </row>
    <row r="114" spans="2:40" x14ac:dyDescent="0.25">
      <c r="B114" s="620" t="s">
        <v>1453</v>
      </c>
      <c r="C114" s="113" t="s">
        <v>175</v>
      </c>
      <c r="D114" s="113" t="s">
        <v>707</v>
      </c>
      <c r="E114" s="113" t="s">
        <v>707</v>
      </c>
      <c r="F114" s="113" t="s">
        <v>707</v>
      </c>
      <c r="G114" s="113" t="s">
        <v>1101</v>
      </c>
      <c r="H114" s="113" t="s">
        <v>1102</v>
      </c>
      <c r="I114" s="113">
        <v>-1</v>
      </c>
      <c r="J114" s="623">
        <f>SUMIFS('Iron &amp; Steel'!$S$13:$S$17,'Iron &amp; Steel'!$L$13:$L$17,'IS-TSData'!C114)</f>
        <v>0.95</v>
      </c>
      <c r="K114" s="621">
        <f>'Iron &amp; Steel'!AG15</f>
        <v>0.97190201729106618</v>
      </c>
      <c r="L114" s="621">
        <f>'Iron &amp; Steel'!AH15</f>
        <v>0.88976945244956762</v>
      </c>
      <c r="M114" s="621">
        <f>'Iron &amp; Steel'!AI15</f>
        <v>0.77481081081081082</v>
      </c>
      <c r="N114" s="621">
        <f>'Iron &amp; Steel'!AJ15</f>
        <v>0.77481081081081082</v>
      </c>
      <c r="O114" s="621">
        <f>'Iron &amp; Steel'!AK15</f>
        <v>0.75891891891891894</v>
      </c>
      <c r="P114" s="621">
        <f>'Iron &amp; Steel'!AL15</f>
        <v>0.80270270270270283</v>
      </c>
      <c r="Q114" s="621">
        <f>'Iron &amp; Steel'!AM15</f>
        <v>0.80270270270270283</v>
      </c>
      <c r="R114" s="621">
        <f>'Iron &amp; Steel'!AN15</f>
        <v>0.76492845786963448</v>
      </c>
      <c r="AN114" s="622"/>
    </row>
    <row r="115" spans="2:40" x14ac:dyDescent="0.25">
      <c r="B115" s="620" t="s">
        <v>1453</v>
      </c>
      <c r="C115" s="113" t="s">
        <v>179</v>
      </c>
      <c r="D115" s="113" t="s">
        <v>707</v>
      </c>
      <c r="E115" s="113" t="s">
        <v>707</v>
      </c>
      <c r="F115" s="113" t="s">
        <v>707</v>
      </c>
      <c r="G115" s="113" t="s">
        <v>1101</v>
      </c>
      <c r="H115" s="113" t="s">
        <v>1102</v>
      </c>
      <c r="I115" s="113">
        <v>-1</v>
      </c>
      <c r="J115" s="623">
        <f>SUMIFS('Iron &amp; Steel'!$S$13:$S$17,'Iron &amp; Steel'!$L$13:$L$17,'IS-TSData'!C115)</f>
        <v>0.62</v>
      </c>
      <c r="K115" s="621">
        <f>'Iron &amp; Steel'!AG16</f>
        <v>0.63429394812680118</v>
      </c>
      <c r="L115" s="621">
        <f>'Iron &amp; Steel'!AH16</f>
        <v>0.5806916426512968</v>
      </c>
      <c r="M115" s="621">
        <f>'Iron &amp; Steel'!AI16</f>
        <v>0.1360000000000007</v>
      </c>
      <c r="N115" s="621">
        <f>'Iron &amp; Steel'!AJ16</f>
        <v>0</v>
      </c>
      <c r="O115" s="621">
        <f>'Iron &amp; Steel'!AK16</f>
        <v>0</v>
      </c>
      <c r="P115" s="621">
        <f>'Iron &amp; Steel'!AL16</f>
        <v>0</v>
      </c>
      <c r="Q115" s="621">
        <f>'Iron &amp; Steel'!AM16</f>
        <v>0</v>
      </c>
      <c r="R115" s="621">
        <f>'Iron &amp; Steel'!AN16</f>
        <v>0</v>
      </c>
      <c r="AN115" s="622"/>
    </row>
    <row r="116" spans="2:40" x14ac:dyDescent="0.25">
      <c r="B116" s="620" t="s">
        <v>1453</v>
      </c>
      <c r="C116" s="113" t="s">
        <v>181</v>
      </c>
      <c r="D116" s="113" t="s">
        <v>707</v>
      </c>
      <c r="E116" s="113" t="s">
        <v>707</v>
      </c>
      <c r="F116" s="113" t="s">
        <v>707</v>
      </c>
      <c r="G116" s="113" t="s">
        <v>1101</v>
      </c>
      <c r="H116" s="113" t="s">
        <v>1102</v>
      </c>
      <c r="I116" s="113">
        <v>-1</v>
      </c>
      <c r="J116" s="623">
        <f>SUMIFS('Iron &amp; Steel'!$S$13:$S$17,'Iron &amp; Steel'!$L$13:$L$17,'IS-TSData'!C116)</f>
        <v>0.86</v>
      </c>
      <c r="K116" s="621">
        <f>'Iron &amp; Steel'!AG17</f>
        <v>0.87982708933717579</v>
      </c>
      <c r="L116" s="621">
        <f>'Iron &amp; Steel'!AH17</f>
        <v>0.8054755043227666</v>
      </c>
      <c r="M116" s="621">
        <f>'Iron &amp; Steel'!AI17</f>
        <v>1.3620000000000003</v>
      </c>
      <c r="N116" s="621">
        <f>'Iron &amp; Steel'!AJ17</f>
        <v>1.3200000000000003</v>
      </c>
      <c r="O116" s="621">
        <f>'Iron &amp; Steel'!AK17</f>
        <v>1.3200000000000003</v>
      </c>
      <c r="P116" s="621">
        <f>'Iron &amp; Steel'!AL17</f>
        <v>1.2079999999999993</v>
      </c>
      <c r="Q116" s="621">
        <f>'Iron &amp; Steel'!AM17</f>
        <v>1.2079999999999993</v>
      </c>
      <c r="R116" s="621">
        <f>'Iron &amp; Steel'!AN17</f>
        <v>1.2079999999999993</v>
      </c>
      <c r="AN116" s="622"/>
    </row>
    <row r="117" spans="2:40" x14ac:dyDescent="0.25">
      <c r="B117" s="620" t="s">
        <v>979</v>
      </c>
      <c r="C117" s="113" t="s">
        <v>170</v>
      </c>
      <c r="D117" s="113" t="s">
        <v>707</v>
      </c>
      <c r="E117" s="113" t="s">
        <v>707</v>
      </c>
      <c r="F117" s="113" t="s">
        <v>707</v>
      </c>
      <c r="G117" s="113" t="s">
        <v>707</v>
      </c>
      <c r="H117" s="113" t="s">
        <v>594</v>
      </c>
      <c r="I117" s="113">
        <v>5</v>
      </c>
      <c r="J117" s="623">
        <f>SUMIFS('Iron &amp; Steel'!$U$13:$U$17,'Iron &amp; Steel'!$L$13:$L$17,'IS-TSData'!C117)</f>
        <v>0.85</v>
      </c>
      <c r="O117" s="623">
        <f>SUMIFS('Iron &amp; Steel'!$AD$13:$AD$17,'Iron &amp; Steel'!$AB$13:$AB$17,'IS-TSData'!C117)</f>
        <v>0.9</v>
      </c>
      <c r="AN117" s="622"/>
    </row>
    <row r="118" spans="2:40" x14ac:dyDescent="0.25">
      <c r="B118" s="620" t="s">
        <v>979</v>
      </c>
      <c r="C118" s="113" t="s">
        <v>172</v>
      </c>
      <c r="D118" s="113" t="s">
        <v>707</v>
      </c>
      <c r="E118" s="113" t="s">
        <v>707</v>
      </c>
      <c r="F118" s="113" t="s">
        <v>707</v>
      </c>
      <c r="G118" s="113" t="s">
        <v>707</v>
      </c>
      <c r="H118" s="113" t="s">
        <v>594</v>
      </c>
      <c r="I118" s="113">
        <v>5</v>
      </c>
      <c r="J118" s="623">
        <f>SUMIFS('Iron &amp; Steel'!$U$13:$U$17,'Iron &amp; Steel'!$L$13:$L$17,'IS-TSData'!C118)</f>
        <v>0.97580645161290303</v>
      </c>
      <c r="O118" s="623">
        <f>SUMIFS('Iron &amp; Steel'!$AD$13:$AD$17,'Iron &amp; Steel'!$AB$13:$AB$17,'IS-TSData'!C118)</f>
        <v>0.99830343032443969</v>
      </c>
      <c r="AN118" s="622"/>
    </row>
    <row r="119" spans="2:40" ht="16.5" customHeight="1" x14ac:dyDescent="0.25">
      <c r="B119" s="620" t="s">
        <v>979</v>
      </c>
      <c r="C119" s="113" t="s">
        <v>175</v>
      </c>
      <c r="D119" s="113" t="s">
        <v>707</v>
      </c>
      <c r="E119" s="113" t="s">
        <v>707</v>
      </c>
      <c r="F119" s="113" t="s">
        <v>707</v>
      </c>
      <c r="G119" s="113" t="s">
        <v>707</v>
      </c>
      <c r="H119" s="113" t="s">
        <v>594</v>
      </c>
      <c r="I119" s="113">
        <v>5</v>
      </c>
      <c r="J119" s="623">
        <f>SUMIFS('Iron &amp; Steel'!$U$13:$U$17,'Iron &amp; Steel'!$L$13:$L$17,'IS-TSData'!C119)</f>
        <v>0.85</v>
      </c>
      <c r="O119" s="623">
        <f>SUMIFS('Iron &amp; Steel'!$AD$13:$AD$17,'Iron &amp; Steel'!$AB$13:$AB$17,'IS-TSData'!C119)</f>
        <v>0.9</v>
      </c>
      <c r="AN119" s="622"/>
    </row>
    <row r="120" spans="2:40" ht="16.5" customHeight="1" x14ac:dyDescent="0.25">
      <c r="B120" s="620" t="s">
        <v>979</v>
      </c>
      <c r="C120" s="113" t="s">
        <v>179</v>
      </c>
      <c r="D120" s="113" t="s">
        <v>707</v>
      </c>
      <c r="E120" s="113" t="s">
        <v>707</v>
      </c>
      <c r="F120" s="113" t="s">
        <v>707</v>
      </c>
      <c r="G120" s="113" t="s">
        <v>707</v>
      </c>
      <c r="H120" s="113" t="s">
        <v>594</v>
      </c>
      <c r="I120" s="113">
        <v>5</v>
      </c>
      <c r="J120" s="623">
        <f>SUMIFS('Iron &amp; Steel'!$U$13:$U$17,'Iron &amp; Steel'!$L$13:$L$17,'IS-TSData'!C120)</f>
        <v>0.85</v>
      </c>
      <c r="O120" s="623">
        <f>SUMIFS('Iron &amp; Steel'!$AD$13:$AD$17,'Iron &amp; Steel'!$AB$13:$AB$17,'IS-TSData'!C120)</f>
        <v>0.9</v>
      </c>
      <c r="AN120" s="622"/>
    </row>
    <row r="121" spans="2:40" ht="18" customHeight="1" x14ac:dyDescent="0.25">
      <c r="B121" s="620" t="s">
        <v>979</v>
      </c>
      <c r="C121" s="113" t="s">
        <v>181</v>
      </c>
      <c r="D121" s="113" t="s">
        <v>707</v>
      </c>
      <c r="E121" s="113" t="s">
        <v>707</v>
      </c>
      <c r="F121" s="113" t="s">
        <v>707</v>
      </c>
      <c r="G121" s="113" t="s">
        <v>707</v>
      </c>
      <c r="H121" s="113" t="s">
        <v>594</v>
      </c>
      <c r="I121" s="113">
        <v>5</v>
      </c>
      <c r="J121" s="623">
        <f>SUMIFS('Iron &amp; Steel'!$U$13:$U$17,'Iron &amp; Steel'!$L$13:$L$17,'IS-TSData'!C121)</f>
        <v>0.85</v>
      </c>
      <c r="M121" s="624">
        <f>O121</f>
        <v>1</v>
      </c>
      <c r="O121" s="623">
        <f>SUMIFS('Iron &amp; Steel'!$AD$13:$AD$17,'Iron &amp; Steel'!$AB$13:$AB$17,'IS-TSData'!C121)</f>
        <v>1</v>
      </c>
      <c r="AN121" s="622"/>
    </row>
    <row r="122" spans="2:40" ht="18" customHeight="1" x14ac:dyDescent="0.25">
      <c r="B122" s="620" t="s">
        <v>979</v>
      </c>
      <c r="C122" s="113" t="s">
        <v>170</v>
      </c>
      <c r="D122" s="113" t="s">
        <v>707</v>
      </c>
      <c r="E122" s="113" t="s">
        <v>707</v>
      </c>
      <c r="F122" s="113" t="s">
        <v>707</v>
      </c>
      <c r="G122" s="113" t="s">
        <v>707</v>
      </c>
      <c r="H122" s="113" t="s">
        <v>593</v>
      </c>
      <c r="I122" s="113">
        <v>5</v>
      </c>
      <c r="J122" s="113">
        <v>0</v>
      </c>
      <c r="O122" s="623">
        <f>J122</f>
        <v>0</v>
      </c>
      <c r="S122" s="623">
        <v>0.75</v>
      </c>
      <c r="AN122" s="622"/>
    </row>
    <row r="123" spans="2:40" ht="18" customHeight="1" x14ac:dyDescent="0.25">
      <c r="B123" s="620" t="s">
        <v>979</v>
      </c>
      <c r="C123" s="113" t="s">
        <v>172</v>
      </c>
      <c r="D123" s="113" t="s">
        <v>707</v>
      </c>
      <c r="E123" s="113" t="s">
        <v>707</v>
      </c>
      <c r="F123" s="113" t="s">
        <v>707</v>
      </c>
      <c r="G123" s="113" t="s">
        <v>707</v>
      </c>
      <c r="H123" s="113" t="s">
        <v>593</v>
      </c>
      <c r="I123" s="113">
        <v>5</v>
      </c>
      <c r="J123" s="113">
        <v>0</v>
      </c>
      <c r="O123" s="623">
        <f>J123</f>
        <v>0</v>
      </c>
      <c r="S123" s="623">
        <f>SUMIFS('Iron &amp; Steel'!$V$13:$V$17,'Iron &amp; Steel'!$L$13:$L$17,'IS-TSData'!C123)</f>
        <v>0</v>
      </c>
      <c r="AN123" s="622"/>
    </row>
    <row r="124" spans="2:40" ht="18" customHeight="1" x14ac:dyDescent="0.25">
      <c r="B124" s="620" t="s">
        <v>979</v>
      </c>
      <c r="C124" s="113" t="s">
        <v>175</v>
      </c>
      <c r="D124" s="113" t="s">
        <v>707</v>
      </c>
      <c r="E124" s="113" t="s">
        <v>707</v>
      </c>
      <c r="F124" s="113" t="s">
        <v>707</v>
      </c>
      <c r="G124" s="113" t="s">
        <v>707</v>
      </c>
      <c r="H124" s="113" t="s">
        <v>593</v>
      </c>
      <c r="I124" s="113">
        <v>5</v>
      </c>
      <c r="J124" s="113">
        <v>0</v>
      </c>
      <c r="O124" s="623">
        <f>J124</f>
        <v>0</v>
      </c>
      <c r="S124" s="623">
        <f>SUMIFS('Iron &amp; Steel'!$V$13:$V$17,'Iron &amp; Steel'!$L$13:$L$17,'IS-TSData'!C124)</f>
        <v>0</v>
      </c>
      <c r="AN124" s="622"/>
    </row>
    <row r="125" spans="2:40" ht="18" customHeight="1" x14ac:dyDescent="0.25">
      <c r="B125" s="620" t="s">
        <v>979</v>
      </c>
      <c r="C125" s="113" t="s">
        <v>179</v>
      </c>
      <c r="D125" s="113" t="s">
        <v>707</v>
      </c>
      <c r="E125" s="113" t="s">
        <v>707</v>
      </c>
      <c r="F125" s="113" t="s">
        <v>707</v>
      </c>
      <c r="G125" s="113" t="s">
        <v>707</v>
      </c>
      <c r="H125" s="113" t="s">
        <v>593</v>
      </c>
      <c r="I125" s="113">
        <v>5</v>
      </c>
      <c r="J125" s="113">
        <v>0</v>
      </c>
      <c r="O125" s="623">
        <f>J125</f>
        <v>0</v>
      </c>
      <c r="S125" s="623">
        <f>SUMIFS('Iron &amp; Steel'!$V$13:$V$17,'Iron &amp; Steel'!$L$13:$L$17,'IS-TSData'!C125)</f>
        <v>0</v>
      </c>
      <c r="AN125" s="622"/>
    </row>
    <row r="126" spans="2:40" ht="18" customHeight="1" x14ac:dyDescent="0.25">
      <c r="B126" s="620" t="s">
        <v>979</v>
      </c>
      <c r="C126" s="113" t="s">
        <v>181</v>
      </c>
      <c r="D126" s="113" t="s">
        <v>707</v>
      </c>
      <c r="E126" s="113" t="s">
        <v>707</v>
      </c>
      <c r="F126" s="113" t="s">
        <v>707</v>
      </c>
      <c r="G126" s="113" t="s">
        <v>707</v>
      </c>
      <c r="H126" s="113" t="s">
        <v>593</v>
      </c>
      <c r="I126" s="113">
        <v>5</v>
      </c>
      <c r="J126" s="113">
        <v>0</v>
      </c>
      <c r="O126" s="623">
        <f>J126</f>
        <v>0</v>
      </c>
      <c r="S126" s="623">
        <f>SUMIFS('Iron &amp; Steel'!$V$13:$V$17,'Iron &amp; Steel'!$L$13:$L$17,'IS-TSData'!C126)</f>
        <v>0</v>
      </c>
      <c r="AN126" s="622"/>
    </row>
    <row r="127" spans="2:40" x14ac:dyDescent="0.25">
      <c r="B127" s="113" t="s">
        <v>979</v>
      </c>
      <c r="C127" s="113" t="s">
        <v>1306</v>
      </c>
      <c r="D127" s="113" t="s">
        <v>707</v>
      </c>
      <c r="E127" s="113" t="s">
        <v>707</v>
      </c>
      <c r="F127" s="113" t="s">
        <v>707</v>
      </c>
      <c r="G127" s="113" t="s">
        <v>707</v>
      </c>
      <c r="H127" s="113" t="s">
        <v>594</v>
      </c>
      <c r="I127" s="113">
        <v>0</v>
      </c>
      <c r="J127" s="113">
        <v>1</v>
      </c>
    </row>
    <row r="128" spans="2:40" x14ac:dyDescent="0.25">
      <c r="B128" s="113" t="s">
        <v>979</v>
      </c>
      <c r="C128" s="113" t="s">
        <v>1304</v>
      </c>
      <c r="D128" s="113" t="s">
        <v>707</v>
      </c>
      <c r="E128" s="113" t="s">
        <v>707</v>
      </c>
      <c r="F128" s="113" t="s">
        <v>707</v>
      </c>
      <c r="G128" s="113" t="s">
        <v>707</v>
      </c>
      <c r="H128" s="113" t="s">
        <v>594</v>
      </c>
      <c r="I128" s="113">
        <v>0</v>
      </c>
      <c r="J128" s="113">
        <v>1</v>
      </c>
    </row>
    <row r="129" spans="2:10" x14ac:dyDescent="0.25">
      <c r="B129" s="113" t="s">
        <v>979</v>
      </c>
      <c r="C129" s="113" t="s">
        <v>539</v>
      </c>
      <c r="D129" s="113" t="s">
        <v>707</v>
      </c>
      <c r="E129" s="113" t="s">
        <v>707</v>
      </c>
      <c r="F129" s="113" t="s">
        <v>707</v>
      </c>
      <c r="G129" s="113" t="s">
        <v>707</v>
      </c>
      <c r="H129" s="113" t="s">
        <v>594</v>
      </c>
      <c r="I129" s="113">
        <v>0</v>
      </c>
      <c r="J129" s="113">
        <v>0.85</v>
      </c>
    </row>
    <row r="130" spans="2:10" x14ac:dyDescent="0.25">
      <c r="B130" s="113" t="s">
        <v>979</v>
      </c>
      <c r="C130" s="113" t="s">
        <v>1300</v>
      </c>
      <c r="D130" s="113" t="s">
        <v>707</v>
      </c>
      <c r="E130" s="113" t="s">
        <v>707</v>
      </c>
      <c r="F130" s="113" t="s">
        <v>707</v>
      </c>
      <c r="G130" s="113" t="s">
        <v>707</v>
      </c>
      <c r="H130" s="113" t="s">
        <v>594</v>
      </c>
      <c r="I130" s="113">
        <v>0</v>
      </c>
      <c r="J130" s="113">
        <v>1</v>
      </c>
    </row>
    <row r="131" spans="2:10" x14ac:dyDescent="0.25">
      <c r="B131" s="113" t="s">
        <v>979</v>
      </c>
      <c r="C131" s="113" t="s">
        <v>1298</v>
      </c>
      <c r="D131" s="113" t="s">
        <v>707</v>
      </c>
      <c r="E131" s="113" t="s">
        <v>707</v>
      </c>
      <c r="F131" s="113" t="s">
        <v>707</v>
      </c>
      <c r="G131" s="113" t="s">
        <v>707</v>
      </c>
      <c r="H131" s="113" t="s">
        <v>594</v>
      </c>
      <c r="I131" s="113">
        <v>0</v>
      </c>
      <c r="J131" s="113">
        <v>1</v>
      </c>
    </row>
    <row r="132" spans="2:10" x14ac:dyDescent="0.25">
      <c r="B132" s="113" t="s">
        <v>979</v>
      </c>
      <c r="C132" s="113" t="s">
        <v>1293</v>
      </c>
      <c r="D132" s="113" t="s">
        <v>707</v>
      </c>
      <c r="E132" s="113" t="s">
        <v>707</v>
      </c>
      <c r="F132" s="113" t="s">
        <v>707</v>
      </c>
      <c r="G132" s="113" t="s">
        <v>707</v>
      </c>
      <c r="H132" s="113" t="s">
        <v>594</v>
      </c>
      <c r="I132" s="113">
        <v>0</v>
      </c>
      <c r="J132" s="113">
        <v>1</v>
      </c>
    </row>
    <row r="133" spans="2:10" x14ac:dyDescent="0.25">
      <c r="B133" s="113" t="s">
        <v>979</v>
      </c>
      <c r="C133" s="113" t="s">
        <v>1291</v>
      </c>
      <c r="D133" s="113" t="s">
        <v>707</v>
      </c>
      <c r="E133" s="113" t="s">
        <v>707</v>
      </c>
      <c r="F133" s="113" t="s">
        <v>707</v>
      </c>
      <c r="G133" s="113" t="s">
        <v>707</v>
      </c>
      <c r="H133" s="113" t="s">
        <v>594</v>
      </c>
      <c r="I133" s="113">
        <v>0</v>
      </c>
      <c r="J133" s="113">
        <v>1</v>
      </c>
    </row>
    <row r="134" spans="2:10" x14ac:dyDescent="0.25">
      <c r="B134" s="113" t="s">
        <v>979</v>
      </c>
      <c r="C134" s="113" t="s">
        <v>540</v>
      </c>
      <c r="D134" s="113" t="s">
        <v>707</v>
      </c>
      <c r="E134" s="113" t="s">
        <v>707</v>
      </c>
      <c r="F134" s="113" t="s">
        <v>707</v>
      </c>
      <c r="G134" s="113" t="s">
        <v>707</v>
      </c>
      <c r="H134" s="113" t="s">
        <v>594</v>
      </c>
      <c r="I134" s="113">
        <v>0</v>
      </c>
      <c r="J134" s="113">
        <v>0.85</v>
      </c>
    </row>
    <row r="135" spans="2:10" x14ac:dyDescent="0.25">
      <c r="B135" s="113" t="s">
        <v>979</v>
      </c>
      <c r="C135" s="113" t="s">
        <v>541</v>
      </c>
      <c r="D135" s="113" t="s">
        <v>707</v>
      </c>
      <c r="E135" s="113" t="s">
        <v>707</v>
      </c>
      <c r="F135" s="113" t="s">
        <v>707</v>
      </c>
      <c r="G135" s="113" t="s">
        <v>707</v>
      </c>
      <c r="H135" s="113" t="s">
        <v>594</v>
      </c>
      <c r="I135" s="113">
        <v>0</v>
      </c>
      <c r="J135" s="113">
        <v>0.85</v>
      </c>
    </row>
    <row r="136" spans="2:10" x14ac:dyDescent="0.25">
      <c r="B136" s="113" t="s">
        <v>979</v>
      </c>
      <c r="C136" s="113" t="s">
        <v>1286</v>
      </c>
      <c r="D136" s="113" t="s">
        <v>707</v>
      </c>
      <c r="E136" s="113" t="s">
        <v>707</v>
      </c>
      <c r="F136" s="113" t="s">
        <v>707</v>
      </c>
      <c r="G136" s="113" t="s">
        <v>707</v>
      </c>
      <c r="H136" s="113" t="s">
        <v>594</v>
      </c>
      <c r="I136" s="113">
        <v>0</v>
      </c>
      <c r="J136" s="113">
        <v>1</v>
      </c>
    </row>
    <row r="137" spans="2:10" x14ac:dyDescent="0.25">
      <c r="B137" s="113" t="s">
        <v>979</v>
      </c>
      <c r="C137" s="113" t="s">
        <v>1284</v>
      </c>
      <c r="D137" s="113" t="s">
        <v>707</v>
      </c>
      <c r="E137" s="113" t="s">
        <v>707</v>
      </c>
      <c r="F137" s="113" t="s">
        <v>707</v>
      </c>
      <c r="G137" s="113" t="s">
        <v>707</v>
      </c>
      <c r="H137" s="113" t="s">
        <v>594</v>
      </c>
      <c r="I137" s="113">
        <v>0</v>
      </c>
      <c r="J137" s="113">
        <v>1</v>
      </c>
    </row>
    <row r="138" spans="2:10" x14ac:dyDescent="0.25">
      <c r="B138" s="113" t="s">
        <v>979</v>
      </c>
      <c r="C138" s="113" t="s">
        <v>1281</v>
      </c>
      <c r="D138" s="113" t="s">
        <v>707</v>
      </c>
      <c r="E138" s="113" t="s">
        <v>707</v>
      </c>
      <c r="F138" s="113" t="s">
        <v>707</v>
      </c>
      <c r="G138" s="113" t="s">
        <v>707</v>
      </c>
      <c r="H138" s="113" t="s">
        <v>594</v>
      </c>
      <c r="I138" s="113">
        <v>0</v>
      </c>
      <c r="J138" s="113">
        <v>1</v>
      </c>
    </row>
    <row r="139" spans="2:10" x14ac:dyDescent="0.25">
      <c r="B139" s="113" t="s">
        <v>979</v>
      </c>
      <c r="C139" s="113" t="s">
        <v>1279</v>
      </c>
      <c r="D139" s="113" t="s">
        <v>707</v>
      </c>
      <c r="E139" s="113" t="s">
        <v>707</v>
      </c>
      <c r="F139" s="113" t="s">
        <v>707</v>
      </c>
      <c r="G139" s="113" t="s">
        <v>707</v>
      </c>
      <c r="H139" s="113" t="s">
        <v>594</v>
      </c>
      <c r="I139" s="113">
        <v>0</v>
      </c>
      <c r="J139" s="113">
        <v>1</v>
      </c>
    </row>
    <row r="140" spans="2:10" x14ac:dyDescent="0.25">
      <c r="B140" s="113" t="s">
        <v>979</v>
      </c>
      <c r="C140" s="113" t="s">
        <v>542</v>
      </c>
      <c r="D140" s="113" t="s">
        <v>707</v>
      </c>
      <c r="E140" s="113" t="s">
        <v>707</v>
      </c>
      <c r="F140" s="113" t="s">
        <v>707</v>
      </c>
      <c r="G140" s="113" t="s">
        <v>707</v>
      </c>
      <c r="H140" s="113" t="s">
        <v>594</v>
      </c>
      <c r="I140" s="113">
        <v>0</v>
      </c>
      <c r="J140" s="113">
        <v>0.85</v>
      </c>
    </row>
    <row r="141" spans="2:10" x14ac:dyDescent="0.25">
      <c r="B141" s="113" t="s">
        <v>979</v>
      </c>
      <c r="C141" s="113" t="s">
        <v>1276</v>
      </c>
      <c r="D141" s="113" t="s">
        <v>707</v>
      </c>
      <c r="E141" s="113" t="s">
        <v>707</v>
      </c>
      <c r="F141" s="113" t="s">
        <v>707</v>
      </c>
      <c r="G141" s="113" t="s">
        <v>707</v>
      </c>
      <c r="H141" s="113" t="s">
        <v>594</v>
      </c>
      <c r="I141" s="113">
        <v>0</v>
      </c>
      <c r="J141" s="113">
        <v>1</v>
      </c>
    </row>
    <row r="142" spans="2:10" x14ac:dyDescent="0.25">
      <c r="B142" s="113" t="s">
        <v>979</v>
      </c>
      <c r="C142" s="113" t="s">
        <v>1270</v>
      </c>
      <c r="D142" s="113" t="s">
        <v>707</v>
      </c>
      <c r="E142" s="113" t="s">
        <v>707</v>
      </c>
      <c r="F142" s="113" t="s">
        <v>707</v>
      </c>
      <c r="G142" s="113" t="s">
        <v>707</v>
      </c>
      <c r="H142" s="113" t="s">
        <v>594</v>
      </c>
      <c r="I142" s="113">
        <v>0</v>
      </c>
      <c r="J142" s="113">
        <v>1</v>
      </c>
    </row>
    <row r="143" spans="2:10" x14ac:dyDescent="0.25">
      <c r="B143" s="113" t="s">
        <v>979</v>
      </c>
      <c r="C143" s="113" t="s">
        <v>1268</v>
      </c>
      <c r="D143" s="113" t="s">
        <v>707</v>
      </c>
      <c r="E143" s="113" t="s">
        <v>707</v>
      </c>
      <c r="F143" s="113" t="s">
        <v>707</v>
      </c>
      <c r="G143" s="113" t="s">
        <v>707</v>
      </c>
      <c r="H143" s="113" t="s">
        <v>594</v>
      </c>
      <c r="I143" s="113">
        <v>0</v>
      </c>
      <c r="J143" s="113">
        <v>1</v>
      </c>
    </row>
    <row r="144" spans="2:10" x14ac:dyDescent="0.25">
      <c r="B144" s="113" t="s">
        <v>979</v>
      </c>
      <c r="C144" s="113" t="s">
        <v>1266</v>
      </c>
      <c r="D144" s="113" t="s">
        <v>707</v>
      </c>
      <c r="E144" s="113" t="s">
        <v>707</v>
      </c>
      <c r="F144" s="113" t="s">
        <v>707</v>
      </c>
      <c r="G144" s="113" t="s">
        <v>707</v>
      </c>
      <c r="H144" s="113" t="s">
        <v>594</v>
      </c>
      <c r="I144" s="113">
        <v>0</v>
      </c>
      <c r="J144" s="113">
        <v>1</v>
      </c>
    </row>
    <row r="145" spans="2:10" x14ac:dyDescent="0.25">
      <c r="B145" s="113" t="s">
        <v>979</v>
      </c>
      <c r="C145" s="113" t="s">
        <v>1262</v>
      </c>
      <c r="D145" s="113" t="s">
        <v>707</v>
      </c>
      <c r="E145" s="113" t="s">
        <v>707</v>
      </c>
      <c r="F145" s="113" t="s">
        <v>707</v>
      </c>
      <c r="G145" s="113" t="s">
        <v>707</v>
      </c>
      <c r="H145" s="113" t="s">
        <v>594</v>
      </c>
      <c r="I145" s="113">
        <v>0</v>
      </c>
      <c r="J145" s="113">
        <v>1</v>
      </c>
    </row>
    <row r="146" spans="2:10" x14ac:dyDescent="0.25">
      <c r="B146" s="113" t="s">
        <v>1452</v>
      </c>
      <c r="C146" s="113" t="s">
        <v>170</v>
      </c>
      <c r="D146" s="113" t="s">
        <v>707</v>
      </c>
      <c r="E146" s="113" t="s">
        <v>707</v>
      </c>
      <c r="F146" s="113" t="s">
        <v>707</v>
      </c>
      <c r="G146" s="113" t="s">
        <v>707</v>
      </c>
      <c r="H146" s="113" t="s">
        <v>1102</v>
      </c>
      <c r="I146" s="113">
        <v>3</v>
      </c>
      <c r="J146" s="113">
        <v>0</v>
      </c>
    </row>
    <row r="147" spans="2:10" x14ac:dyDescent="0.25">
      <c r="B147" s="113" t="s">
        <v>1452</v>
      </c>
      <c r="C147" s="113" t="s">
        <v>172</v>
      </c>
      <c r="D147" s="113" t="s">
        <v>707</v>
      </c>
      <c r="E147" s="113" t="s">
        <v>707</v>
      </c>
      <c r="F147" s="113" t="s">
        <v>707</v>
      </c>
      <c r="G147" s="113" t="s">
        <v>707</v>
      </c>
      <c r="H147" s="113" t="s">
        <v>1102</v>
      </c>
      <c r="I147" s="113">
        <v>3</v>
      </c>
      <c r="J147" s="113">
        <v>0</v>
      </c>
    </row>
    <row r="148" spans="2:10" x14ac:dyDescent="0.25">
      <c r="B148" s="113" t="s">
        <v>1452</v>
      </c>
      <c r="C148" s="113" t="s">
        <v>175</v>
      </c>
      <c r="D148" s="113" t="s">
        <v>707</v>
      </c>
      <c r="E148" s="113" t="s">
        <v>707</v>
      </c>
      <c r="F148" s="113" t="s">
        <v>707</v>
      </c>
      <c r="G148" s="113" t="s">
        <v>707</v>
      </c>
      <c r="H148" s="113" t="s">
        <v>1102</v>
      </c>
      <c r="I148" s="113">
        <v>3</v>
      </c>
      <c r="J148" s="113">
        <v>0</v>
      </c>
    </row>
    <row r="149" spans="2:10" x14ac:dyDescent="0.25">
      <c r="B149" s="113" t="s">
        <v>1452</v>
      </c>
      <c r="C149" s="113" t="s">
        <v>179</v>
      </c>
      <c r="D149" s="113" t="s">
        <v>707</v>
      </c>
      <c r="E149" s="113" t="s">
        <v>707</v>
      </c>
      <c r="F149" s="113" t="s">
        <v>707</v>
      </c>
      <c r="G149" s="113" t="s">
        <v>707</v>
      </c>
      <c r="H149" s="113" t="s">
        <v>1102</v>
      </c>
      <c r="I149" s="113">
        <v>3</v>
      </c>
      <c r="J149" s="113">
        <v>0</v>
      </c>
    </row>
    <row r="150" spans="2:10" x14ac:dyDescent="0.25">
      <c r="B150" s="113" t="s">
        <v>1452</v>
      </c>
      <c r="C150" s="113" t="s">
        <v>181</v>
      </c>
      <c r="D150" s="113" t="s">
        <v>707</v>
      </c>
      <c r="E150" s="113" t="s">
        <v>707</v>
      </c>
      <c r="F150" s="113" t="s">
        <v>707</v>
      </c>
      <c r="G150" s="113" t="s">
        <v>707</v>
      </c>
      <c r="H150" s="113" t="s">
        <v>1102</v>
      </c>
      <c r="I150" s="113">
        <v>3</v>
      </c>
      <c r="J150" s="113">
        <v>0</v>
      </c>
    </row>
    <row r="151" spans="2:10" x14ac:dyDescent="0.25">
      <c r="B151" s="113" t="s">
        <v>1088</v>
      </c>
      <c r="C151" s="113" t="s">
        <v>1306</v>
      </c>
      <c r="D151" s="113" t="s">
        <v>707</v>
      </c>
      <c r="E151" s="113" t="s">
        <v>707</v>
      </c>
      <c r="F151" s="113" t="s">
        <v>707</v>
      </c>
      <c r="G151" s="113" t="s">
        <v>707</v>
      </c>
      <c r="H151" s="113" t="s">
        <v>707</v>
      </c>
      <c r="I151" s="113">
        <v>0</v>
      </c>
      <c r="J151" s="620">
        <f>'Iron &amp; Steel'!O112</f>
        <v>51.067002016435609</v>
      </c>
    </row>
    <row r="152" spans="2:10" x14ac:dyDescent="0.25">
      <c r="B152" s="113" t="s">
        <v>1088</v>
      </c>
      <c r="C152" s="113" t="s">
        <v>1304</v>
      </c>
      <c r="D152" s="113" t="s">
        <v>707</v>
      </c>
      <c r="E152" s="113" t="s">
        <v>707</v>
      </c>
      <c r="F152" s="113" t="s">
        <v>707</v>
      </c>
      <c r="G152" s="113" t="s">
        <v>707</v>
      </c>
      <c r="H152" s="113" t="s">
        <v>707</v>
      </c>
      <c r="I152" s="113">
        <v>0</v>
      </c>
      <c r="J152" s="620">
        <f>'Iron &amp; Steel'!O113</f>
        <v>517.21707170492482</v>
      </c>
    </row>
    <row r="153" spans="2:10" x14ac:dyDescent="0.25">
      <c r="B153" s="113" t="s">
        <v>1088</v>
      </c>
      <c r="C153" s="113" t="s">
        <v>539</v>
      </c>
      <c r="D153" s="113" t="s">
        <v>707</v>
      </c>
      <c r="E153" s="113" t="s">
        <v>707</v>
      </c>
      <c r="F153" s="113" t="s">
        <v>707</v>
      </c>
      <c r="G153" s="113" t="s">
        <v>707</v>
      </c>
      <c r="H153" s="113" t="s">
        <v>707</v>
      </c>
      <c r="I153" s="113">
        <v>0</v>
      </c>
      <c r="J153" s="620">
        <f>'Iron &amp; Steel'!O114</f>
        <v>2960.5767066451517</v>
      </c>
    </row>
    <row r="154" spans="2:10" x14ac:dyDescent="0.25">
      <c r="B154" s="113" t="s">
        <v>1088</v>
      </c>
      <c r="C154" s="113" t="s">
        <v>1300</v>
      </c>
      <c r="D154" s="113" t="s">
        <v>707</v>
      </c>
      <c r="E154" s="113" t="s">
        <v>707</v>
      </c>
      <c r="F154" s="113" t="s">
        <v>707</v>
      </c>
      <c r="G154" s="113" t="s">
        <v>707</v>
      </c>
      <c r="H154" s="113" t="s">
        <v>707</v>
      </c>
      <c r="I154" s="113">
        <v>0</v>
      </c>
      <c r="J154" s="620">
        <f>'Iron &amp; Steel'!O115</f>
        <v>23.569385546047204</v>
      </c>
    </row>
    <row r="155" spans="2:10" x14ac:dyDescent="0.25">
      <c r="B155" s="113" t="s">
        <v>1088</v>
      </c>
      <c r="C155" s="113" t="s">
        <v>1298</v>
      </c>
      <c r="D155" s="113" t="s">
        <v>707</v>
      </c>
      <c r="E155" s="113" t="s">
        <v>707</v>
      </c>
      <c r="F155" s="113" t="s">
        <v>707</v>
      </c>
      <c r="G155" s="113" t="s">
        <v>707</v>
      </c>
      <c r="H155" s="113" t="s">
        <v>707</v>
      </c>
      <c r="I155" s="113">
        <v>0</v>
      </c>
      <c r="J155" s="620">
        <f>'Iron &amp; Steel'!O116</f>
        <v>175.46098128724032</v>
      </c>
    </row>
    <row r="156" spans="2:10" x14ac:dyDescent="0.25">
      <c r="B156" s="113" t="s">
        <v>1088</v>
      </c>
      <c r="C156" s="113" t="s">
        <v>1293</v>
      </c>
      <c r="D156" s="113" t="s">
        <v>707</v>
      </c>
      <c r="E156" s="113" t="s">
        <v>707</v>
      </c>
      <c r="F156" s="113" t="s">
        <v>707</v>
      </c>
      <c r="G156" s="113" t="s">
        <v>707</v>
      </c>
      <c r="H156" s="113" t="s">
        <v>707</v>
      </c>
      <c r="I156" s="113">
        <v>0</v>
      </c>
      <c r="J156" s="620">
        <f>'Iron &amp; Steel'!O117</f>
        <v>40.591719551525742</v>
      </c>
    </row>
    <row r="157" spans="2:10" x14ac:dyDescent="0.25">
      <c r="B157" s="113" t="s">
        <v>1088</v>
      </c>
      <c r="C157" s="113" t="s">
        <v>1291</v>
      </c>
      <c r="D157" s="113" t="s">
        <v>707</v>
      </c>
      <c r="E157" s="113" t="s">
        <v>707</v>
      </c>
      <c r="F157" s="113" t="s">
        <v>707</v>
      </c>
      <c r="G157" s="113" t="s">
        <v>707</v>
      </c>
      <c r="H157" s="113" t="s">
        <v>707</v>
      </c>
      <c r="I157" s="113">
        <v>0</v>
      </c>
      <c r="J157" s="620">
        <f>'Iron &amp; Steel'!O118</f>
        <v>175.46098128724032</v>
      </c>
    </row>
    <row r="158" spans="2:10" x14ac:dyDescent="0.25">
      <c r="B158" s="113" t="s">
        <v>1088</v>
      </c>
      <c r="C158" s="113" t="s">
        <v>540</v>
      </c>
      <c r="D158" s="113" t="s">
        <v>707</v>
      </c>
      <c r="E158" s="113" t="s">
        <v>707</v>
      </c>
      <c r="F158" s="113" t="s">
        <v>707</v>
      </c>
      <c r="G158" s="113" t="s">
        <v>707</v>
      </c>
      <c r="H158" s="113" t="s">
        <v>707</v>
      </c>
      <c r="I158" s="113">
        <v>0</v>
      </c>
      <c r="J158" s="620">
        <f>'Iron &amp; Steel'!O119</f>
        <v>2951.4108344883557</v>
      </c>
    </row>
    <row r="159" spans="2:10" x14ac:dyDescent="0.25">
      <c r="B159" s="113" t="s">
        <v>1088</v>
      </c>
      <c r="C159" s="113" t="s">
        <v>541</v>
      </c>
      <c r="D159" s="113" t="s">
        <v>707</v>
      </c>
      <c r="E159" s="113" t="s">
        <v>707</v>
      </c>
      <c r="F159" s="113" t="s">
        <v>707</v>
      </c>
      <c r="G159" s="113" t="s">
        <v>707</v>
      </c>
      <c r="H159" s="113" t="s">
        <v>707</v>
      </c>
      <c r="I159" s="113">
        <v>0</v>
      </c>
      <c r="J159" s="620">
        <f>'Iron &amp; Steel'!O120</f>
        <v>2459.0725586375916</v>
      </c>
    </row>
    <row r="160" spans="2:10" x14ac:dyDescent="0.25">
      <c r="B160" s="113" t="s">
        <v>1088</v>
      </c>
      <c r="C160" s="113" t="s">
        <v>1286</v>
      </c>
      <c r="D160" s="113" t="s">
        <v>707</v>
      </c>
      <c r="E160" s="113" t="s">
        <v>707</v>
      </c>
      <c r="F160" s="113" t="s">
        <v>707</v>
      </c>
      <c r="G160" s="113" t="s">
        <v>707</v>
      </c>
      <c r="H160" s="113" t="s">
        <v>707</v>
      </c>
      <c r="I160" s="113">
        <v>0</v>
      </c>
      <c r="J160" s="620">
        <f>'Iron &amp; Steel'!O121</f>
        <v>23.569385546047204</v>
      </c>
    </row>
    <row r="161" spans="2:10" x14ac:dyDescent="0.25">
      <c r="B161" s="113" t="s">
        <v>1088</v>
      </c>
      <c r="C161" s="113" t="s">
        <v>1284</v>
      </c>
      <c r="D161" s="113" t="s">
        <v>707</v>
      </c>
      <c r="E161" s="113" t="s">
        <v>707</v>
      </c>
      <c r="F161" s="113" t="s">
        <v>707</v>
      </c>
      <c r="G161" s="113" t="s">
        <v>707</v>
      </c>
      <c r="H161" s="113" t="s">
        <v>707</v>
      </c>
      <c r="I161" s="113">
        <v>0</v>
      </c>
      <c r="J161" s="620">
        <f>'Iron &amp; Steel'!O122</f>
        <v>175.46098128724032</v>
      </c>
    </row>
    <row r="162" spans="2:10" x14ac:dyDescent="0.25">
      <c r="B162" s="113" t="s">
        <v>1088</v>
      </c>
      <c r="C162" s="113" t="s">
        <v>1281</v>
      </c>
      <c r="D162" s="113" t="s">
        <v>707</v>
      </c>
      <c r="E162" s="113" t="s">
        <v>707</v>
      </c>
      <c r="F162" s="113" t="s">
        <v>707</v>
      </c>
      <c r="G162" s="113" t="s">
        <v>707</v>
      </c>
      <c r="H162" s="113" t="s">
        <v>707</v>
      </c>
      <c r="I162" s="113">
        <v>0</v>
      </c>
      <c r="J162" s="620">
        <f>'Iron &amp; Steel'!O123</f>
        <v>23.569385546047204</v>
      </c>
    </row>
    <row r="163" spans="2:10" x14ac:dyDescent="0.25">
      <c r="B163" s="113" t="s">
        <v>1088</v>
      </c>
      <c r="C163" s="113" t="s">
        <v>1279</v>
      </c>
      <c r="D163" s="113" t="s">
        <v>707</v>
      </c>
      <c r="E163" s="113" t="s">
        <v>707</v>
      </c>
      <c r="F163" s="113" t="s">
        <v>707</v>
      </c>
      <c r="G163" s="113" t="s">
        <v>707</v>
      </c>
      <c r="H163" s="113" t="s">
        <v>707</v>
      </c>
      <c r="I163" s="113">
        <v>0</v>
      </c>
      <c r="J163" s="620">
        <f>'Iron &amp; Steel'!O124</f>
        <v>175.46098128724032</v>
      </c>
    </row>
    <row r="164" spans="2:10" x14ac:dyDescent="0.25">
      <c r="B164" s="113" t="s">
        <v>1088</v>
      </c>
      <c r="C164" s="113" t="s">
        <v>542</v>
      </c>
      <c r="D164" s="113" t="s">
        <v>707</v>
      </c>
      <c r="E164" s="113" t="s">
        <v>707</v>
      </c>
      <c r="F164" s="113" t="s">
        <v>707</v>
      </c>
      <c r="G164" s="113" t="s">
        <v>707</v>
      </c>
      <c r="H164" s="113" t="s">
        <v>707</v>
      </c>
      <c r="I164" s="113">
        <v>0</v>
      </c>
      <c r="J164" s="620">
        <f>'Iron &amp; Steel'!O125</f>
        <v>1812.2238664294073</v>
      </c>
    </row>
    <row r="165" spans="2:10" x14ac:dyDescent="0.25">
      <c r="B165" s="113" t="s">
        <v>1088</v>
      </c>
      <c r="C165" s="113" t="s">
        <v>1276</v>
      </c>
      <c r="D165" s="113" t="s">
        <v>707</v>
      </c>
      <c r="E165" s="113" t="s">
        <v>707</v>
      </c>
      <c r="F165" s="113" t="s">
        <v>707</v>
      </c>
      <c r="G165" s="113" t="s">
        <v>707</v>
      </c>
      <c r="H165" s="113" t="s">
        <v>707</v>
      </c>
      <c r="I165" s="113">
        <v>0</v>
      </c>
      <c r="J165" s="620">
        <f>'Iron &amp; Steel'!O126</f>
        <v>1E-4</v>
      </c>
    </row>
    <row r="166" spans="2:10" x14ac:dyDescent="0.25">
      <c r="B166" s="113" t="s">
        <v>1088</v>
      </c>
      <c r="C166" s="113" t="s">
        <v>1270</v>
      </c>
      <c r="D166" s="113" t="s">
        <v>707</v>
      </c>
      <c r="E166" s="113" t="s">
        <v>707</v>
      </c>
      <c r="F166" s="113" t="s">
        <v>707</v>
      </c>
      <c r="G166" s="113" t="s">
        <v>707</v>
      </c>
      <c r="H166" s="113" t="s">
        <v>707</v>
      </c>
      <c r="I166" s="113">
        <v>0</v>
      </c>
      <c r="J166" s="620">
        <f>'Iron &amp; Steel'!O127</f>
        <v>1E-4</v>
      </c>
    </row>
    <row r="167" spans="2:10" x14ac:dyDescent="0.25">
      <c r="B167" s="113" t="s">
        <v>1088</v>
      </c>
      <c r="C167" s="113" t="s">
        <v>1268</v>
      </c>
      <c r="D167" s="113" t="s">
        <v>707</v>
      </c>
      <c r="E167" s="113" t="s">
        <v>707</v>
      </c>
      <c r="F167" s="113" t="s">
        <v>707</v>
      </c>
      <c r="G167" s="113" t="s">
        <v>707</v>
      </c>
      <c r="H167" s="113" t="s">
        <v>707</v>
      </c>
      <c r="I167" s="113">
        <v>0</v>
      </c>
      <c r="J167" s="620">
        <f>'Iron &amp; Steel'!O128</f>
        <v>1E-4</v>
      </c>
    </row>
    <row r="168" spans="2:10" x14ac:dyDescent="0.25">
      <c r="B168" s="113" t="s">
        <v>1088</v>
      </c>
      <c r="C168" s="113" t="s">
        <v>1266</v>
      </c>
      <c r="D168" s="113" t="s">
        <v>707</v>
      </c>
      <c r="E168" s="113" t="s">
        <v>707</v>
      </c>
      <c r="F168" s="113" t="s">
        <v>707</v>
      </c>
      <c r="G168" s="113" t="s">
        <v>707</v>
      </c>
      <c r="H168" s="113" t="s">
        <v>707</v>
      </c>
      <c r="I168" s="113">
        <v>0</v>
      </c>
      <c r="J168" s="620">
        <f>'Iron &amp; Steel'!O129</f>
        <v>1E-4</v>
      </c>
    </row>
    <row r="169" spans="2:10" x14ac:dyDescent="0.25">
      <c r="B169" s="113" t="s">
        <v>1088</v>
      </c>
      <c r="C169" s="113" t="s">
        <v>1262</v>
      </c>
      <c r="D169" s="113" t="s">
        <v>707</v>
      </c>
      <c r="E169" s="113" t="s">
        <v>707</v>
      </c>
      <c r="F169" s="113" t="s">
        <v>707</v>
      </c>
      <c r="G169" s="113" t="s">
        <v>707</v>
      </c>
      <c r="H169" s="113" t="s">
        <v>707</v>
      </c>
      <c r="I169" s="113">
        <v>0</v>
      </c>
      <c r="J169" s="620">
        <f>'Iron &amp; Steel'!O130</f>
        <v>1E-4</v>
      </c>
    </row>
    <row r="170" spans="2:10" x14ac:dyDescent="0.25">
      <c r="B170" s="113" t="s">
        <v>1087</v>
      </c>
      <c r="C170" s="113" t="s">
        <v>540</v>
      </c>
      <c r="D170" s="113" t="s">
        <v>707</v>
      </c>
      <c r="E170" s="113" t="s">
        <v>707</v>
      </c>
      <c r="F170" s="113" t="s">
        <v>707</v>
      </c>
      <c r="G170" s="113" t="s">
        <v>707</v>
      </c>
      <c r="H170" s="113" t="s">
        <v>707</v>
      </c>
      <c r="I170" s="113">
        <v>0</v>
      </c>
      <c r="J170" s="113">
        <v>5</v>
      </c>
    </row>
    <row r="171" spans="2:10" x14ac:dyDescent="0.25">
      <c r="B171" s="113" t="s">
        <v>1086</v>
      </c>
      <c r="C171" s="113" t="s">
        <v>170</v>
      </c>
      <c r="D171" s="113" t="s">
        <v>707</v>
      </c>
      <c r="E171" s="113" t="s">
        <v>707</v>
      </c>
      <c r="F171" s="113" t="s">
        <v>707</v>
      </c>
      <c r="G171" s="113" t="s">
        <v>707</v>
      </c>
      <c r="H171" s="113" t="s">
        <v>707</v>
      </c>
      <c r="I171" s="113">
        <v>0</v>
      </c>
      <c r="J171" s="113">
        <v>25</v>
      </c>
    </row>
    <row r="172" spans="2:10" x14ac:dyDescent="0.25">
      <c r="B172" s="113" t="s">
        <v>1086</v>
      </c>
      <c r="C172" s="113" t="s">
        <v>1306</v>
      </c>
      <c r="D172" s="113" t="s">
        <v>707</v>
      </c>
      <c r="E172" s="113" t="s">
        <v>707</v>
      </c>
      <c r="F172" s="113" t="s">
        <v>707</v>
      </c>
      <c r="G172" s="113" t="s">
        <v>707</v>
      </c>
      <c r="H172" s="113" t="s">
        <v>707</v>
      </c>
      <c r="I172" s="113">
        <v>0</v>
      </c>
      <c r="J172" s="113">
        <v>100</v>
      </c>
    </row>
    <row r="173" spans="2:10" x14ac:dyDescent="0.25">
      <c r="B173" s="113" t="s">
        <v>1086</v>
      </c>
      <c r="C173" s="113" t="s">
        <v>1304</v>
      </c>
      <c r="D173" s="113" t="s">
        <v>707</v>
      </c>
      <c r="E173" s="113" t="s">
        <v>707</v>
      </c>
      <c r="F173" s="113" t="s">
        <v>707</v>
      </c>
      <c r="G173" s="113" t="s">
        <v>707</v>
      </c>
      <c r="H173" s="113" t="s">
        <v>707</v>
      </c>
      <c r="I173" s="113">
        <v>0</v>
      </c>
      <c r="J173" s="113">
        <v>100</v>
      </c>
    </row>
    <row r="174" spans="2:10" x14ac:dyDescent="0.25">
      <c r="B174" s="113" t="s">
        <v>1086</v>
      </c>
      <c r="C174" s="113" t="s">
        <v>539</v>
      </c>
      <c r="D174" s="113" t="s">
        <v>707</v>
      </c>
      <c r="E174" s="113" t="s">
        <v>707</v>
      </c>
      <c r="F174" s="113" t="s">
        <v>707</v>
      </c>
      <c r="G174" s="113" t="s">
        <v>707</v>
      </c>
      <c r="H174" s="113" t="s">
        <v>707</v>
      </c>
      <c r="I174" s="113">
        <v>0</v>
      </c>
      <c r="J174" s="113">
        <v>25</v>
      </c>
    </row>
    <row r="175" spans="2:10" x14ac:dyDescent="0.25">
      <c r="B175" s="113" t="s">
        <v>1086</v>
      </c>
      <c r="C175" s="113" t="s">
        <v>172</v>
      </c>
      <c r="D175" s="113" t="s">
        <v>707</v>
      </c>
      <c r="E175" s="113" t="s">
        <v>707</v>
      </c>
      <c r="F175" s="113" t="s">
        <v>707</v>
      </c>
      <c r="G175" s="113" t="s">
        <v>707</v>
      </c>
      <c r="H175" s="113" t="s">
        <v>707</v>
      </c>
      <c r="I175" s="113">
        <v>0</v>
      </c>
      <c r="J175" s="113">
        <v>25</v>
      </c>
    </row>
    <row r="176" spans="2:10" x14ac:dyDescent="0.25">
      <c r="B176" s="113" t="s">
        <v>1086</v>
      </c>
      <c r="C176" s="113" t="s">
        <v>1300</v>
      </c>
      <c r="D176" s="113" t="s">
        <v>707</v>
      </c>
      <c r="E176" s="113" t="s">
        <v>707</v>
      </c>
      <c r="F176" s="113" t="s">
        <v>707</v>
      </c>
      <c r="G176" s="113" t="s">
        <v>707</v>
      </c>
      <c r="H176" s="113" t="s">
        <v>707</v>
      </c>
      <c r="I176" s="113">
        <v>0</v>
      </c>
      <c r="J176" s="113">
        <v>100</v>
      </c>
    </row>
    <row r="177" spans="2:10" x14ac:dyDescent="0.25">
      <c r="B177" s="113" t="s">
        <v>1086</v>
      </c>
      <c r="C177" s="113" t="s">
        <v>1298</v>
      </c>
      <c r="D177" s="113" t="s">
        <v>707</v>
      </c>
      <c r="E177" s="113" t="s">
        <v>707</v>
      </c>
      <c r="F177" s="113" t="s">
        <v>707</v>
      </c>
      <c r="G177" s="113" t="s">
        <v>707</v>
      </c>
      <c r="H177" s="113" t="s">
        <v>707</v>
      </c>
      <c r="I177" s="113">
        <v>0</v>
      </c>
      <c r="J177" s="113">
        <v>100</v>
      </c>
    </row>
    <row r="178" spans="2:10" x14ac:dyDescent="0.25">
      <c r="B178" s="113" t="s">
        <v>1086</v>
      </c>
      <c r="C178" s="113" t="s">
        <v>175</v>
      </c>
      <c r="D178" s="113" t="s">
        <v>707</v>
      </c>
      <c r="E178" s="113" t="s">
        <v>707</v>
      </c>
      <c r="F178" s="113" t="s">
        <v>707</v>
      </c>
      <c r="G178" s="113" t="s">
        <v>707</v>
      </c>
      <c r="H178" s="113" t="s">
        <v>707</v>
      </c>
      <c r="I178" s="113">
        <v>0</v>
      </c>
      <c r="J178" s="113">
        <v>25</v>
      </c>
    </row>
    <row r="179" spans="2:10" x14ac:dyDescent="0.25">
      <c r="B179" s="113" t="s">
        <v>1086</v>
      </c>
      <c r="C179" s="113" t="s">
        <v>1293</v>
      </c>
      <c r="D179" s="113" t="s">
        <v>707</v>
      </c>
      <c r="E179" s="113" t="s">
        <v>707</v>
      </c>
      <c r="F179" s="113" t="s">
        <v>707</v>
      </c>
      <c r="G179" s="113" t="s">
        <v>707</v>
      </c>
      <c r="H179" s="113" t="s">
        <v>707</v>
      </c>
      <c r="I179" s="113">
        <v>0</v>
      </c>
      <c r="J179" s="113">
        <v>100</v>
      </c>
    </row>
    <row r="180" spans="2:10" x14ac:dyDescent="0.25">
      <c r="B180" s="113" t="s">
        <v>1086</v>
      </c>
      <c r="C180" s="113" t="s">
        <v>1291</v>
      </c>
      <c r="D180" s="113" t="s">
        <v>707</v>
      </c>
      <c r="E180" s="113" t="s">
        <v>707</v>
      </c>
      <c r="F180" s="113" t="s">
        <v>707</v>
      </c>
      <c r="G180" s="113" t="s">
        <v>707</v>
      </c>
      <c r="H180" s="113" t="s">
        <v>707</v>
      </c>
      <c r="I180" s="113">
        <v>0</v>
      </c>
      <c r="J180" s="113">
        <v>100</v>
      </c>
    </row>
    <row r="181" spans="2:10" x14ac:dyDescent="0.25">
      <c r="B181" s="113" t="s">
        <v>1086</v>
      </c>
      <c r="C181" s="113" t="s">
        <v>540</v>
      </c>
      <c r="D181" s="113" t="s">
        <v>707</v>
      </c>
      <c r="E181" s="113" t="s">
        <v>707</v>
      </c>
      <c r="F181" s="113" t="s">
        <v>707</v>
      </c>
      <c r="G181" s="113" t="s">
        <v>707</v>
      </c>
      <c r="H181" s="113" t="s">
        <v>707</v>
      </c>
      <c r="I181" s="113">
        <v>0</v>
      </c>
      <c r="J181" s="113">
        <v>25</v>
      </c>
    </row>
    <row r="182" spans="2:10" x14ac:dyDescent="0.25">
      <c r="B182" s="113" t="s">
        <v>1086</v>
      </c>
      <c r="C182" s="113" t="s">
        <v>541</v>
      </c>
      <c r="D182" s="113" t="s">
        <v>707</v>
      </c>
      <c r="E182" s="113" t="s">
        <v>707</v>
      </c>
      <c r="F182" s="113" t="s">
        <v>707</v>
      </c>
      <c r="G182" s="113" t="s">
        <v>707</v>
      </c>
      <c r="H182" s="113" t="s">
        <v>707</v>
      </c>
      <c r="I182" s="113">
        <v>0</v>
      </c>
      <c r="J182" s="113">
        <v>25</v>
      </c>
    </row>
    <row r="183" spans="2:10" x14ac:dyDescent="0.25">
      <c r="B183" s="113" t="s">
        <v>1086</v>
      </c>
      <c r="C183" s="113" t="s">
        <v>179</v>
      </c>
      <c r="D183" s="113" t="s">
        <v>707</v>
      </c>
      <c r="E183" s="113" t="s">
        <v>707</v>
      </c>
      <c r="F183" s="113" t="s">
        <v>707</v>
      </c>
      <c r="G183" s="113" t="s">
        <v>707</v>
      </c>
      <c r="H183" s="113" t="s">
        <v>707</v>
      </c>
      <c r="I183" s="113">
        <v>0</v>
      </c>
      <c r="J183" s="113">
        <v>25</v>
      </c>
    </row>
    <row r="184" spans="2:10" x14ac:dyDescent="0.25">
      <c r="B184" s="113" t="s">
        <v>1086</v>
      </c>
      <c r="C184" s="113" t="s">
        <v>1286</v>
      </c>
      <c r="D184" s="113" t="s">
        <v>707</v>
      </c>
      <c r="E184" s="113" t="s">
        <v>707</v>
      </c>
      <c r="F184" s="113" t="s">
        <v>707</v>
      </c>
      <c r="G184" s="113" t="s">
        <v>707</v>
      </c>
      <c r="H184" s="113" t="s">
        <v>707</v>
      </c>
      <c r="I184" s="113">
        <v>0</v>
      </c>
      <c r="J184" s="113">
        <v>100</v>
      </c>
    </row>
    <row r="185" spans="2:10" x14ac:dyDescent="0.25">
      <c r="B185" s="113" t="s">
        <v>1086</v>
      </c>
      <c r="C185" s="113" t="s">
        <v>1284</v>
      </c>
      <c r="D185" s="113" t="s">
        <v>707</v>
      </c>
      <c r="E185" s="113" t="s">
        <v>707</v>
      </c>
      <c r="F185" s="113" t="s">
        <v>707</v>
      </c>
      <c r="G185" s="113" t="s">
        <v>707</v>
      </c>
      <c r="H185" s="113" t="s">
        <v>707</v>
      </c>
      <c r="I185" s="113">
        <v>0</v>
      </c>
      <c r="J185" s="113">
        <v>100</v>
      </c>
    </row>
    <row r="186" spans="2:10" x14ac:dyDescent="0.25">
      <c r="B186" s="113" t="s">
        <v>1086</v>
      </c>
      <c r="C186" s="113" t="s">
        <v>181</v>
      </c>
      <c r="D186" s="113" t="s">
        <v>707</v>
      </c>
      <c r="E186" s="113" t="s">
        <v>707</v>
      </c>
      <c r="F186" s="113" t="s">
        <v>707</v>
      </c>
      <c r="G186" s="113" t="s">
        <v>707</v>
      </c>
      <c r="H186" s="113" t="s">
        <v>707</v>
      </c>
      <c r="I186" s="113">
        <v>0</v>
      </c>
      <c r="J186" s="113">
        <v>25</v>
      </c>
    </row>
    <row r="187" spans="2:10" x14ac:dyDescent="0.25">
      <c r="B187" s="113" t="s">
        <v>1086</v>
      </c>
      <c r="C187" s="113" t="s">
        <v>1281</v>
      </c>
      <c r="D187" s="113" t="s">
        <v>707</v>
      </c>
      <c r="E187" s="113" t="s">
        <v>707</v>
      </c>
      <c r="F187" s="113" t="s">
        <v>707</v>
      </c>
      <c r="G187" s="113" t="s">
        <v>707</v>
      </c>
      <c r="H187" s="113" t="s">
        <v>707</v>
      </c>
      <c r="I187" s="113">
        <v>0</v>
      </c>
      <c r="J187" s="113">
        <v>100</v>
      </c>
    </row>
    <row r="188" spans="2:10" x14ac:dyDescent="0.25">
      <c r="B188" s="113" t="s">
        <v>1086</v>
      </c>
      <c r="C188" s="113" t="s">
        <v>1279</v>
      </c>
      <c r="D188" s="113" t="s">
        <v>707</v>
      </c>
      <c r="E188" s="113" t="s">
        <v>707</v>
      </c>
      <c r="F188" s="113" t="s">
        <v>707</v>
      </c>
      <c r="G188" s="113" t="s">
        <v>707</v>
      </c>
      <c r="H188" s="113" t="s">
        <v>707</v>
      </c>
      <c r="I188" s="113">
        <v>0</v>
      </c>
      <c r="J188" s="113">
        <v>100</v>
      </c>
    </row>
    <row r="189" spans="2:10" x14ac:dyDescent="0.25">
      <c r="B189" s="113" t="s">
        <v>1086</v>
      </c>
      <c r="C189" s="113" t="s">
        <v>542</v>
      </c>
      <c r="D189" s="113" t="s">
        <v>707</v>
      </c>
      <c r="E189" s="113" t="s">
        <v>707</v>
      </c>
      <c r="F189" s="113" t="s">
        <v>707</v>
      </c>
      <c r="G189" s="113" t="s">
        <v>707</v>
      </c>
      <c r="H189" s="113" t="s">
        <v>707</v>
      </c>
      <c r="I189" s="113">
        <v>0</v>
      </c>
      <c r="J189" s="113">
        <v>25</v>
      </c>
    </row>
    <row r="190" spans="2:10" x14ac:dyDescent="0.25">
      <c r="B190" s="113" t="s">
        <v>1086</v>
      </c>
      <c r="C190" s="113" t="s">
        <v>1276</v>
      </c>
      <c r="D190" s="113" t="s">
        <v>707</v>
      </c>
      <c r="E190" s="113" t="s">
        <v>707</v>
      </c>
      <c r="F190" s="113" t="s">
        <v>707</v>
      </c>
      <c r="G190" s="113" t="s">
        <v>707</v>
      </c>
      <c r="H190" s="113" t="s">
        <v>707</v>
      </c>
      <c r="I190" s="113">
        <v>0</v>
      </c>
      <c r="J190" s="113">
        <v>60</v>
      </c>
    </row>
    <row r="191" spans="2:10" x14ac:dyDescent="0.25">
      <c r="B191" s="113" t="s">
        <v>1086</v>
      </c>
      <c r="C191" s="113" t="s">
        <v>1270</v>
      </c>
      <c r="D191" s="113" t="s">
        <v>707</v>
      </c>
      <c r="E191" s="113" t="s">
        <v>707</v>
      </c>
      <c r="F191" s="113" t="s">
        <v>707</v>
      </c>
      <c r="G191" s="113" t="s">
        <v>707</v>
      </c>
      <c r="H191" s="113" t="s">
        <v>707</v>
      </c>
      <c r="I191" s="113">
        <v>0</v>
      </c>
      <c r="J191" s="113">
        <v>60</v>
      </c>
    </row>
    <row r="192" spans="2:10" x14ac:dyDescent="0.25">
      <c r="B192" s="113" t="s">
        <v>1086</v>
      </c>
      <c r="C192" s="113" t="s">
        <v>1268</v>
      </c>
      <c r="D192" s="113" t="s">
        <v>707</v>
      </c>
      <c r="E192" s="113" t="s">
        <v>707</v>
      </c>
      <c r="F192" s="113" t="s">
        <v>707</v>
      </c>
      <c r="G192" s="113" t="s">
        <v>707</v>
      </c>
      <c r="H192" s="113" t="s">
        <v>707</v>
      </c>
      <c r="I192" s="113">
        <v>0</v>
      </c>
      <c r="J192" s="113">
        <v>60</v>
      </c>
    </row>
    <row r="193" spans="2:10" x14ac:dyDescent="0.25">
      <c r="B193" s="113" t="s">
        <v>1086</v>
      </c>
      <c r="C193" s="113" t="s">
        <v>1266</v>
      </c>
      <c r="D193" s="113" t="s">
        <v>707</v>
      </c>
      <c r="E193" s="113" t="s">
        <v>707</v>
      </c>
      <c r="F193" s="113" t="s">
        <v>707</v>
      </c>
      <c r="G193" s="113" t="s">
        <v>707</v>
      </c>
      <c r="H193" s="113" t="s">
        <v>707</v>
      </c>
      <c r="I193" s="113">
        <v>0</v>
      </c>
      <c r="J193" s="113">
        <v>60</v>
      </c>
    </row>
    <row r="194" spans="2:10" x14ac:dyDescent="0.25">
      <c r="B194" s="113" t="s">
        <v>1086</v>
      </c>
      <c r="C194" s="113" t="s">
        <v>1262</v>
      </c>
      <c r="D194" s="113" t="s">
        <v>707</v>
      </c>
      <c r="E194" s="113" t="s">
        <v>707</v>
      </c>
      <c r="F194" s="113" t="s">
        <v>707</v>
      </c>
      <c r="G194" s="113" t="s">
        <v>707</v>
      </c>
      <c r="H194" s="113" t="s">
        <v>707</v>
      </c>
      <c r="I194" s="113">
        <v>0</v>
      </c>
      <c r="J194" s="113">
        <v>60</v>
      </c>
    </row>
    <row r="195" spans="2:10" x14ac:dyDescent="0.25">
      <c r="B195" s="113" t="s">
        <v>909</v>
      </c>
      <c r="C195" s="113" t="s">
        <v>170</v>
      </c>
      <c r="D195" s="113" t="s">
        <v>707</v>
      </c>
      <c r="E195" s="113" t="s">
        <v>41</v>
      </c>
      <c r="F195" s="113" t="s">
        <v>707</v>
      </c>
      <c r="G195" s="113" t="s">
        <v>707</v>
      </c>
      <c r="H195" s="113" t="s">
        <v>707</v>
      </c>
      <c r="I195" s="113">
        <v>0</v>
      </c>
      <c r="J195" s="113">
        <v>0.1</v>
      </c>
    </row>
    <row r="196" spans="2:10" x14ac:dyDescent="0.25">
      <c r="B196" s="113" t="s">
        <v>909</v>
      </c>
      <c r="C196" s="113" t="s">
        <v>1306</v>
      </c>
      <c r="D196" s="113" t="s">
        <v>707</v>
      </c>
      <c r="E196" s="113" t="s">
        <v>41</v>
      </c>
      <c r="F196" s="113" t="s">
        <v>707</v>
      </c>
      <c r="G196" s="113" t="s">
        <v>707</v>
      </c>
      <c r="H196" s="113" t="s">
        <v>707</v>
      </c>
      <c r="I196" s="113">
        <v>0</v>
      </c>
      <c r="J196" s="113">
        <v>0.1</v>
      </c>
    </row>
    <row r="197" spans="2:10" x14ac:dyDescent="0.25">
      <c r="B197" s="113" t="s">
        <v>909</v>
      </c>
      <c r="C197" s="113" t="s">
        <v>1304</v>
      </c>
      <c r="D197" s="113" t="s">
        <v>707</v>
      </c>
      <c r="E197" s="113" t="s">
        <v>41</v>
      </c>
      <c r="F197" s="113" t="s">
        <v>707</v>
      </c>
      <c r="G197" s="113" t="s">
        <v>707</v>
      </c>
      <c r="H197" s="113" t="s">
        <v>707</v>
      </c>
      <c r="I197" s="113">
        <v>0</v>
      </c>
      <c r="J197" s="113">
        <v>0.1</v>
      </c>
    </row>
    <row r="198" spans="2:10" x14ac:dyDescent="0.25">
      <c r="B198" s="113" t="s">
        <v>909</v>
      </c>
      <c r="C198" s="113" t="s">
        <v>539</v>
      </c>
      <c r="D198" s="113" t="s">
        <v>707</v>
      </c>
      <c r="E198" s="113" t="s">
        <v>41</v>
      </c>
      <c r="F198" s="113" t="s">
        <v>707</v>
      </c>
      <c r="G198" s="113" t="s">
        <v>707</v>
      </c>
      <c r="H198" s="113" t="s">
        <v>707</v>
      </c>
      <c r="I198" s="113">
        <v>0</v>
      </c>
      <c r="J198" s="113">
        <v>0.1</v>
      </c>
    </row>
    <row r="199" spans="2:10" x14ac:dyDescent="0.25">
      <c r="B199" s="113" t="s">
        <v>909</v>
      </c>
      <c r="C199" s="113" t="s">
        <v>172</v>
      </c>
      <c r="D199" s="113" t="s">
        <v>707</v>
      </c>
      <c r="E199" s="113" t="s">
        <v>41</v>
      </c>
      <c r="F199" s="113" t="s">
        <v>707</v>
      </c>
      <c r="G199" s="113" t="s">
        <v>707</v>
      </c>
      <c r="H199" s="113" t="s">
        <v>707</v>
      </c>
      <c r="I199" s="113">
        <v>0</v>
      </c>
      <c r="J199" s="113">
        <v>0.1</v>
      </c>
    </row>
    <row r="200" spans="2:10" x14ac:dyDescent="0.25">
      <c r="B200" s="113" t="s">
        <v>909</v>
      </c>
      <c r="C200" s="113" t="s">
        <v>1300</v>
      </c>
      <c r="D200" s="113" t="s">
        <v>707</v>
      </c>
      <c r="E200" s="113" t="s">
        <v>41</v>
      </c>
      <c r="F200" s="113" t="s">
        <v>707</v>
      </c>
      <c r="G200" s="113" t="s">
        <v>707</v>
      </c>
      <c r="H200" s="113" t="s">
        <v>707</v>
      </c>
      <c r="I200" s="113">
        <v>0</v>
      </c>
      <c r="J200" s="113">
        <v>0.1</v>
      </c>
    </row>
    <row r="201" spans="2:10" x14ac:dyDescent="0.25">
      <c r="B201" s="113" t="s">
        <v>909</v>
      </c>
      <c r="C201" s="113" t="s">
        <v>1298</v>
      </c>
      <c r="D201" s="113" t="s">
        <v>707</v>
      </c>
      <c r="E201" s="113" t="s">
        <v>41</v>
      </c>
      <c r="F201" s="113" t="s">
        <v>707</v>
      </c>
      <c r="G201" s="113" t="s">
        <v>707</v>
      </c>
      <c r="H201" s="113" t="s">
        <v>707</v>
      </c>
      <c r="I201" s="113">
        <v>0</v>
      </c>
      <c r="J201" s="113">
        <v>0.1</v>
      </c>
    </row>
    <row r="202" spans="2:10" x14ac:dyDescent="0.25">
      <c r="B202" s="113" t="s">
        <v>909</v>
      </c>
      <c r="C202" s="113" t="s">
        <v>175</v>
      </c>
      <c r="D202" s="113" t="s">
        <v>707</v>
      </c>
      <c r="E202" s="113" t="s">
        <v>41</v>
      </c>
      <c r="F202" s="113" t="s">
        <v>707</v>
      </c>
      <c r="G202" s="113" t="s">
        <v>707</v>
      </c>
      <c r="H202" s="113" t="s">
        <v>707</v>
      </c>
      <c r="I202" s="113">
        <v>0</v>
      </c>
      <c r="J202" s="113">
        <v>0.1</v>
      </c>
    </row>
    <row r="203" spans="2:10" x14ac:dyDescent="0.25">
      <c r="B203" s="113" t="s">
        <v>909</v>
      </c>
      <c r="C203" s="113" t="s">
        <v>1293</v>
      </c>
      <c r="D203" s="113" t="s">
        <v>707</v>
      </c>
      <c r="E203" s="113" t="s">
        <v>41</v>
      </c>
      <c r="F203" s="113" t="s">
        <v>707</v>
      </c>
      <c r="G203" s="113" t="s">
        <v>707</v>
      </c>
      <c r="H203" s="113" t="s">
        <v>707</v>
      </c>
      <c r="I203" s="113">
        <v>0</v>
      </c>
      <c r="J203" s="113">
        <v>0.1</v>
      </c>
    </row>
    <row r="204" spans="2:10" x14ac:dyDescent="0.25">
      <c r="B204" s="113" t="s">
        <v>909</v>
      </c>
      <c r="C204" s="113" t="s">
        <v>1291</v>
      </c>
      <c r="D204" s="113" t="s">
        <v>707</v>
      </c>
      <c r="E204" s="113" t="s">
        <v>41</v>
      </c>
      <c r="F204" s="113" t="s">
        <v>707</v>
      </c>
      <c r="G204" s="113" t="s">
        <v>707</v>
      </c>
      <c r="H204" s="113" t="s">
        <v>707</v>
      </c>
      <c r="I204" s="113">
        <v>0</v>
      </c>
      <c r="J204" s="113">
        <v>0.1</v>
      </c>
    </row>
    <row r="205" spans="2:10" x14ac:dyDescent="0.25">
      <c r="B205" s="113" t="s">
        <v>909</v>
      </c>
      <c r="C205" s="113" t="s">
        <v>540</v>
      </c>
      <c r="D205" s="113" t="s">
        <v>707</v>
      </c>
      <c r="E205" s="113" t="s">
        <v>41</v>
      </c>
      <c r="F205" s="113" t="s">
        <v>707</v>
      </c>
      <c r="G205" s="113" t="s">
        <v>707</v>
      </c>
      <c r="H205" s="113" t="s">
        <v>707</v>
      </c>
      <c r="I205" s="113">
        <v>0</v>
      </c>
      <c r="J205" s="113">
        <v>0.1</v>
      </c>
    </row>
    <row r="206" spans="2:10" x14ac:dyDescent="0.25">
      <c r="B206" s="113" t="s">
        <v>909</v>
      </c>
      <c r="C206" s="113" t="s">
        <v>541</v>
      </c>
      <c r="D206" s="113" t="s">
        <v>707</v>
      </c>
      <c r="E206" s="113" t="s">
        <v>41</v>
      </c>
      <c r="F206" s="113" t="s">
        <v>707</v>
      </c>
      <c r="G206" s="113" t="s">
        <v>707</v>
      </c>
      <c r="H206" s="113" t="s">
        <v>707</v>
      </c>
      <c r="I206" s="113">
        <v>0</v>
      </c>
      <c r="J206" s="113">
        <v>0.1</v>
      </c>
    </row>
    <row r="207" spans="2:10" x14ac:dyDescent="0.25">
      <c r="B207" s="113" t="s">
        <v>909</v>
      </c>
      <c r="C207" s="113" t="s">
        <v>179</v>
      </c>
      <c r="D207" s="113" t="s">
        <v>707</v>
      </c>
      <c r="E207" s="113" t="s">
        <v>41</v>
      </c>
      <c r="F207" s="113" t="s">
        <v>707</v>
      </c>
      <c r="G207" s="113" t="s">
        <v>707</v>
      </c>
      <c r="H207" s="113" t="s">
        <v>707</v>
      </c>
      <c r="I207" s="113">
        <v>0</v>
      </c>
      <c r="J207" s="113">
        <v>0.1</v>
      </c>
    </row>
    <row r="208" spans="2:10" x14ac:dyDescent="0.25">
      <c r="B208" s="113" t="s">
        <v>909</v>
      </c>
      <c r="C208" s="113" t="s">
        <v>1286</v>
      </c>
      <c r="D208" s="113" t="s">
        <v>707</v>
      </c>
      <c r="E208" s="113" t="s">
        <v>41</v>
      </c>
      <c r="F208" s="113" t="s">
        <v>707</v>
      </c>
      <c r="G208" s="113" t="s">
        <v>707</v>
      </c>
      <c r="H208" s="113" t="s">
        <v>707</v>
      </c>
      <c r="I208" s="113">
        <v>0</v>
      </c>
      <c r="J208" s="113">
        <v>0.1</v>
      </c>
    </row>
    <row r="209" spans="1:41" x14ac:dyDescent="0.25">
      <c r="B209" s="113" t="s">
        <v>909</v>
      </c>
      <c r="C209" s="113" t="s">
        <v>181</v>
      </c>
      <c r="D209" s="113" t="s">
        <v>707</v>
      </c>
      <c r="E209" s="113" t="s">
        <v>41</v>
      </c>
      <c r="F209" s="113" t="s">
        <v>707</v>
      </c>
      <c r="G209" s="113" t="s">
        <v>707</v>
      </c>
      <c r="H209" s="113" t="s">
        <v>707</v>
      </c>
      <c r="I209" s="113">
        <v>0</v>
      </c>
      <c r="J209" s="113">
        <v>1</v>
      </c>
    </row>
    <row r="210" spans="1:41" x14ac:dyDescent="0.25">
      <c r="B210" s="113" t="s">
        <v>909</v>
      </c>
      <c r="C210" s="113" t="s">
        <v>1281</v>
      </c>
      <c r="D210" s="113" t="s">
        <v>707</v>
      </c>
      <c r="E210" s="113" t="s">
        <v>41</v>
      </c>
      <c r="F210" s="113" t="s">
        <v>707</v>
      </c>
      <c r="G210" s="113" t="s">
        <v>707</v>
      </c>
      <c r="H210" s="113" t="s">
        <v>707</v>
      </c>
      <c r="I210" s="113">
        <v>0</v>
      </c>
      <c r="J210" s="113">
        <v>1</v>
      </c>
    </row>
    <row r="211" spans="1:41" x14ac:dyDescent="0.25">
      <c r="B211" s="113" t="s">
        <v>909</v>
      </c>
      <c r="C211" s="113" t="s">
        <v>1279</v>
      </c>
      <c r="D211" s="113" t="s">
        <v>707</v>
      </c>
      <c r="E211" s="113" t="s">
        <v>41</v>
      </c>
      <c r="F211" s="113" t="s">
        <v>707</v>
      </c>
      <c r="G211" s="113" t="s">
        <v>707</v>
      </c>
      <c r="H211" s="113" t="s">
        <v>707</v>
      </c>
      <c r="I211" s="113">
        <v>0</v>
      </c>
      <c r="J211" s="113">
        <v>1</v>
      </c>
    </row>
    <row r="212" spans="1:41" x14ac:dyDescent="0.25">
      <c r="B212" s="113" t="s">
        <v>909</v>
      </c>
      <c r="C212" s="113" t="s">
        <v>542</v>
      </c>
      <c r="D212" s="113" t="s">
        <v>707</v>
      </c>
      <c r="E212" s="113" t="s">
        <v>41</v>
      </c>
      <c r="F212" s="113" t="s">
        <v>707</v>
      </c>
      <c r="G212" s="113" t="s">
        <v>707</v>
      </c>
      <c r="H212" s="113" t="s">
        <v>707</v>
      </c>
      <c r="I212" s="113">
        <v>0</v>
      </c>
      <c r="J212" s="113">
        <v>1</v>
      </c>
    </row>
    <row r="213" spans="1:41" x14ac:dyDescent="0.25">
      <c r="B213" s="620" t="s">
        <v>1451</v>
      </c>
      <c r="C213" s="620" t="s">
        <v>170</v>
      </c>
      <c r="D213" s="620" t="s">
        <v>707</v>
      </c>
      <c r="E213" s="620" t="s">
        <v>707</v>
      </c>
      <c r="F213" s="620" t="s">
        <v>707</v>
      </c>
      <c r="G213" s="620" t="s">
        <v>707</v>
      </c>
      <c r="H213" s="620" t="s">
        <v>707</v>
      </c>
      <c r="I213" s="620">
        <v>0</v>
      </c>
      <c r="J213" s="620">
        <f>'Iron &amp; Steel'!AF23</f>
        <v>4.9000000000000004</v>
      </c>
      <c r="K213" s="620">
        <f>'Iron &amp; Steel'!AG23</f>
        <v>4.9000000000000004</v>
      </c>
      <c r="L213" s="620">
        <f>'Iron &amp; Steel'!AH23</f>
        <v>4.9000000000000004</v>
      </c>
      <c r="M213" s="620">
        <f>'Iron &amp; Steel'!AI23</f>
        <v>4.9000000000000004</v>
      </c>
      <c r="N213" s="620">
        <f>'Iron &amp; Steel'!AJ23</f>
        <v>4.9000000000000004</v>
      </c>
      <c r="O213" s="620">
        <f>'Iron &amp; Steel'!AK23</f>
        <v>4.9000000000000004</v>
      </c>
      <c r="P213" s="620">
        <f>'Iron &amp; Steel'!AL23</f>
        <v>4.9000000000000004</v>
      </c>
      <c r="Q213" s="620">
        <f>'Iron &amp; Steel'!AM23</f>
        <v>4.9000000000000004</v>
      </c>
      <c r="R213" s="620">
        <f>'Iron &amp; Steel'!AN23</f>
        <v>4.9000000000000004</v>
      </c>
      <c r="S213" s="620">
        <f>'Iron &amp; Steel'!AO23</f>
        <v>4.9000000000000004</v>
      </c>
      <c r="T213" s="620">
        <f>'Iron &amp; Steel'!AP23</f>
        <v>4.9000000000000004</v>
      </c>
      <c r="U213" s="620">
        <f>'Iron &amp; Steel'!AQ23</f>
        <v>4.9000000000000004</v>
      </c>
      <c r="V213" s="620">
        <f>'Iron &amp; Steel'!AR23</f>
        <v>4.9000000000000004</v>
      </c>
      <c r="W213" s="620">
        <f>'Iron &amp; Steel'!AS23</f>
        <v>4.9000000000000004</v>
      </c>
      <c r="X213" s="620">
        <f>'Iron &amp; Steel'!AT23</f>
        <v>4.9000000000000004</v>
      </c>
      <c r="Y213" s="620">
        <f>'Iron &amp; Steel'!AU23</f>
        <v>4.9000000000000004</v>
      </c>
      <c r="Z213" s="620">
        <f>'Iron &amp; Steel'!AV23</f>
        <v>4.9000000000000004</v>
      </c>
      <c r="AA213" s="620">
        <f>'Iron &amp; Steel'!AW23</f>
        <v>4.9000000000000004</v>
      </c>
      <c r="AB213" s="620">
        <f>'Iron &amp; Steel'!AX23</f>
        <v>4.9000000000000004</v>
      </c>
      <c r="AC213" s="620">
        <f>'Iron &amp; Steel'!AY23</f>
        <v>4.9000000000000004</v>
      </c>
      <c r="AD213" s="620">
        <f>'Iron &amp; Steel'!AZ23</f>
        <v>4.9000000000000004</v>
      </c>
      <c r="AE213" s="620">
        <f>'Iron &amp; Steel'!BA23</f>
        <v>4.9000000000000004</v>
      </c>
      <c r="AF213" s="620">
        <f>'Iron &amp; Steel'!BB23</f>
        <v>4.9000000000000004</v>
      </c>
      <c r="AG213" s="620">
        <f>'Iron &amp; Steel'!BC23</f>
        <v>4.9000000000000004</v>
      </c>
      <c r="AH213" s="620">
        <f>'Iron &amp; Steel'!BD23</f>
        <v>4.9000000000000004</v>
      </c>
      <c r="AI213" s="620">
        <f>'Iron &amp; Steel'!BE23</f>
        <v>0</v>
      </c>
      <c r="AJ213" s="620">
        <f>'Iron &amp; Steel'!BF23</f>
        <v>0</v>
      </c>
      <c r="AK213" s="620">
        <f>'Iron &amp; Steel'!BG23</f>
        <v>0</v>
      </c>
      <c r="AL213" s="620">
        <f>'Iron &amp; Steel'!BH23</f>
        <v>0</v>
      </c>
      <c r="AM213" s="620">
        <f>'Iron &amp; Steel'!BI23</f>
        <v>0</v>
      </c>
    </row>
    <row r="214" spans="1:41" x14ac:dyDescent="0.25">
      <c r="B214" s="620" t="s">
        <v>1451</v>
      </c>
      <c r="C214" s="620" t="s">
        <v>172</v>
      </c>
      <c r="D214" s="620" t="s">
        <v>707</v>
      </c>
      <c r="E214" s="620" t="s">
        <v>707</v>
      </c>
      <c r="F214" s="620" t="s">
        <v>707</v>
      </c>
      <c r="G214" s="620" t="s">
        <v>707</v>
      </c>
      <c r="H214" s="620" t="s">
        <v>707</v>
      </c>
      <c r="I214" s="620">
        <v>0</v>
      </c>
      <c r="J214" s="620">
        <f>'Iron &amp; Steel'!AF24</f>
        <v>1.2400000000000002</v>
      </c>
      <c r="K214" s="620">
        <f>'Iron &amp; Steel'!AG24</f>
        <v>1.2400000000000002</v>
      </c>
      <c r="L214" s="620">
        <f>'Iron &amp; Steel'!AH24</f>
        <v>1.2400000000000002</v>
      </c>
      <c r="M214" s="620">
        <f>'Iron &amp; Steel'!AI24</f>
        <v>1.2400000000000002</v>
      </c>
      <c r="N214" s="620">
        <f>'Iron &amp; Steel'!AJ24</f>
        <v>1.2400000000000002</v>
      </c>
      <c r="O214" s="620">
        <f>'Iron &amp; Steel'!AK24</f>
        <v>1.2400000000000002</v>
      </c>
      <c r="P214" s="620">
        <f>'Iron &amp; Steel'!AL24</f>
        <v>1.2400000000000002</v>
      </c>
      <c r="Q214" s="620">
        <f>'Iron &amp; Steel'!AM24</f>
        <v>1.2400000000000002</v>
      </c>
      <c r="R214" s="620">
        <f>'Iron &amp; Steel'!AN24</f>
        <v>1.2400000000000002</v>
      </c>
      <c r="S214" s="620">
        <f>'Iron &amp; Steel'!AO24</f>
        <v>1.2400000000000002</v>
      </c>
      <c r="T214" s="620">
        <f>'Iron &amp; Steel'!AP24</f>
        <v>1.2400000000000002</v>
      </c>
      <c r="U214" s="620">
        <f>'Iron &amp; Steel'!AQ24</f>
        <v>1.2400000000000002</v>
      </c>
      <c r="V214" s="620">
        <f>'Iron &amp; Steel'!AR24</f>
        <v>1.2400000000000002</v>
      </c>
      <c r="W214" s="620">
        <f>'Iron &amp; Steel'!AS24</f>
        <v>1.2400000000000002</v>
      </c>
      <c r="X214" s="620">
        <f>'Iron &amp; Steel'!AT24</f>
        <v>1.2400000000000002</v>
      </c>
      <c r="Y214" s="620">
        <f>'Iron &amp; Steel'!AU24</f>
        <v>1.2400000000000002</v>
      </c>
      <c r="Z214" s="620">
        <f>'Iron &amp; Steel'!AV24</f>
        <v>1.2400000000000002</v>
      </c>
      <c r="AA214" s="620">
        <f>'Iron &amp; Steel'!AW24</f>
        <v>1.2400000000000002</v>
      </c>
      <c r="AB214" s="620">
        <f>'Iron &amp; Steel'!AX24</f>
        <v>1.2400000000000002</v>
      </c>
      <c r="AC214" s="620">
        <f>'Iron &amp; Steel'!AY24</f>
        <v>1.2400000000000002</v>
      </c>
      <c r="AD214" s="620">
        <f>'Iron &amp; Steel'!AZ24</f>
        <v>1.2400000000000002</v>
      </c>
      <c r="AE214" s="620">
        <f>'Iron &amp; Steel'!BA24</f>
        <v>1.2400000000000002</v>
      </c>
      <c r="AF214" s="620">
        <f>'Iron &amp; Steel'!BB24</f>
        <v>1.2400000000000002</v>
      </c>
      <c r="AG214" s="620">
        <f>'Iron &amp; Steel'!BC24</f>
        <v>1.2400000000000002</v>
      </c>
      <c r="AH214" s="620">
        <f>'Iron &amp; Steel'!BD24</f>
        <v>1.2400000000000002</v>
      </c>
      <c r="AI214" s="620">
        <f>'Iron &amp; Steel'!BE24</f>
        <v>1.2400000000000002</v>
      </c>
      <c r="AJ214" s="620">
        <f>'Iron &amp; Steel'!BF24</f>
        <v>1.2400000000000002</v>
      </c>
      <c r="AK214" s="620">
        <f>'Iron &amp; Steel'!BG24</f>
        <v>1.2400000000000002</v>
      </c>
      <c r="AL214" s="620">
        <f>'Iron &amp; Steel'!BH24</f>
        <v>1.2400000000000002</v>
      </c>
      <c r="AM214" s="620">
        <f>'Iron &amp; Steel'!BI24</f>
        <v>1.2400000000000002</v>
      </c>
    </row>
    <row r="215" spans="1:41" x14ac:dyDescent="0.25">
      <c r="B215" s="620" t="s">
        <v>1451</v>
      </c>
      <c r="C215" s="620" t="s">
        <v>175</v>
      </c>
      <c r="D215" s="620" t="s">
        <v>707</v>
      </c>
      <c r="E215" s="620" t="s">
        <v>707</v>
      </c>
      <c r="F215" s="620" t="s">
        <v>707</v>
      </c>
      <c r="G215" s="620" t="s">
        <v>707</v>
      </c>
      <c r="H215" s="620" t="s">
        <v>707</v>
      </c>
      <c r="I215" s="620">
        <v>0</v>
      </c>
      <c r="J215" s="620">
        <f>'Iron &amp; Steel'!AF25</f>
        <v>1.44</v>
      </c>
      <c r="K215" s="620">
        <f>'Iron &amp; Steel'!AG25</f>
        <v>1.44</v>
      </c>
      <c r="L215" s="620">
        <f>'Iron &amp; Steel'!AH25</f>
        <v>1.44</v>
      </c>
      <c r="M215" s="620">
        <f>'Iron &amp; Steel'!AI25</f>
        <v>1.44</v>
      </c>
      <c r="N215" s="620">
        <f>'Iron &amp; Steel'!AJ25</f>
        <v>1.44</v>
      </c>
      <c r="O215" s="620">
        <f>'Iron &amp; Steel'!AK25</f>
        <v>1.44</v>
      </c>
      <c r="P215" s="620">
        <f>'Iron &amp; Steel'!AL25</f>
        <v>1.44</v>
      </c>
      <c r="Q215" s="620">
        <f>'Iron &amp; Steel'!AM25</f>
        <v>1.44</v>
      </c>
      <c r="R215" s="620">
        <f>'Iron &amp; Steel'!AN25</f>
        <v>1.44</v>
      </c>
      <c r="S215" s="620">
        <f>'Iron &amp; Steel'!AO25</f>
        <v>1.44</v>
      </c>
      <c r="T215" s="620">
        <f>'Iron &amp; Steel'!AP25</f>
        <v>1.44</v>
      </c>
      <c r="U215" s="620">
        <f>'Iron &amp; Steel'!AQ25</f>
        <v>1.44</v>
      </c>
      <c r="V215" s="620">
        <f>'Iron &amp; Steel'!AR25</f>
        <v>1.44</v>
      </c>
      <c r="W215" s="620">
        <f>'Iron &amp; Steel'!AS25</f>
        <v>1.44</v>
      </c>
      <c r="X215" s="620">
        <f>'Iron &amp; Steel'!AT25</f>
        <v>1.44</v>
      </c>
      <c r="Y215" s="620">
        <f>'Iron &amp; Steel'!AU25</f>
        <v>1.44</v>
      </c>
      <c r="Z215" s="620">
        <f>'Iron &amp; Steel'!AV25</f>
        <v>1.44</v>
      </c>
      <c r="AA215" s="620">
        <f>'Iron &amp; Steel'!AW25</f>
        <v>1.44</v>
      </c>
      <c r="AB215" s="620">
        <f>'Iron &amp; Steel'!AX25</f>
        <v>1.44</v>
      </c>
      <c r="AC215" s="620">
        <f>'Iron &amp; Steel'!AY25</f>
        <v>1.44</v>
      </c>
      <c r="AD215" s="620">
        <f>'Iron &amp; Steel'!AZ25</f>
        <v>1.44</v>
      </c>
      <c r="AE215" s="620">
        <f>'Iron &amp; Steel'!BA25</f>
        <v>1.44</v>
      </c>
      <c r="AF215" s="620">
        <f>'Iron &amp; Steel'!BB25</f>
        <v>1.44</v>
      </c>
      <c r="AG215" s="620">
        <f>'Iron &amp; Steel'!BC25</f>
        <v>1.44</v>
      </c>
      <c r="AH215" s="620">
        <f>'Iron &amp; Steel'!BD25</f>
        <v>1.44</v>
      </c>
      <c r="AI215" s="620">
        <f>'Iron &amp; Steel'!BE25</f>
        <v>0</v>
      </c>
      <c r="AJ215" s="620">
        <f>'Iron &amp; Steel'!BF25</f>
        <v>0</v>
      </c>
      <c r="AK215" s="620">
        <f>'Iron &amp; Steel'!BG25</f>
        <v>0</v>
      </c>
      <c r="AL215" s="620">
        <f>'Iron &amp; Steel'!BH25</f>
        <v>0</v>
      </c>
      <c r="AM215" s="620">
        <f>'Iron &amp; Steel'!BI25</f>
        <v>0</v>
      </c>
    </row>
    <row r="216" spans="1:41" x14ac:dyDescent="0.25">
      <c r="B216" s="620" t="s">
        <v>1451</v>
      </c>
      <c r="C216" s="620" t="s">
        <v>179</v>
      </c>
      <c r="D216" s="620" t="s">
        <v>707</v>
      </c>
      <c r="E216" s="620" t="s">
        <v>707</v>
      </c>
      <c r="F216" s="620" t="s">
        <v>707</v>
      </c>
      <c r="G216" s="620" t="s">
        <v>707</v>
      </c>
      <c r="H216" s="620" t="s">
        <v>707</v>
      </c>
      <c r="I216" s="620">
        <v>0</v>
      </c>
      <c r="J216" s="620">
        <f>'Iron &amp; Steel'!AF26</f>
        <v>1</v>
      </c>
      <c r="K216" s="620">
        <f>'Iron &amp; Steel'!AG26</f>
        <v>1</v>
      </c>
      <c r="L216" s="620">
        <f>'Iron &amp; Steel'!AH26</f>
        <v>1</v>
      </c>
      <c r="M216" s="620">
        <f>'Iron &amp; Steel'!AI26</f>
        <v>1</v>
      </c>
      <c r="N216" s="620">
        <f>'Iron &amp; Steel'!AJ26</f>
        <v>1</v>
      </c>
      <c r="O216" s="620">
        <f>'Iron &amp; Steel'!AK26</f>
        <v>1</v>
      </c>
      <c r="P216" s="620">
        <f>'Iron &amp; Steel'!AL26</f>
        <v>1</v>
      </c>
      <c r="Q216" s="620">
        <f>'Iron &amp; Steel'!AM26</f>
        <v>1</v>
      </c>
      <c r="R216" s="620">
        <f>'Iron &amp; Steel'!AN26</f>
        <v>1</v>
      </c>
      <c r="S216" s="620">
        <f>'Iron &amp; Steel'!AO26</f>
        <v>1</v>
      </c>
      <c r="T216" s="620">
        <f>'Iron &amp; Steel'!AP26</f>
        <v>1</v>
      </c>
      <c r="U216" s="620">
        <f>'Iron &amp; Steel'!AQ26</f>
        <v>1</v>
      </c>
      <c r="V216" s="620">
        <f>'Iron &amp; Steel'!AR26</f>
        <v>1</v>
      </c>
      <c r="W216" s="620">
        <f>'Iron &amp; Steel'!AS26</f>
        <v>1</v>
      </c>
      <c r="X216" s="620">
        <f>'Iron &amp; Steel'!AT26</f>
        <v>1</v>
      </c>
      <c r="Y216" s="620">
        <f>'Iron &amp; Steel'!AU26</f>
        <v>1</v>
      </c>
      <c r="Z216" s="620">
        <f>'Iron &amp; Steel'!AV26</f>
        <v>1</v>
      </c>
      <c r="AA216" s="620">
        <f>'Iron &amp; Steel'!AW26</f>
        <v>1</v>
      </c>
      <c r="AB216" s="620">
        <f>'Iron &amp; Steel'!AX26</f>
        <v>1</v>
      </c>
      <c r="AC216" s="620">
        <f>'Iron &amp; Steel'!AY26</f>
        <v>1</v>
      </c>
      <c r="AD216" s="620">
        <f>'Iron &amp; Steel'!AZ26</f>
        <v>1</v>
      </c>
      <c r="AE216" s="620">
        <f>'Iron &amp; Steel'!BA26</f>
        <v>1</v>
      </c>
      <c r="AF216" s="620">
        <f>'Iron &amp; Steel'!BB26</f>
        <v>1</v>
      </c>
      <c r="AG216" s="620">
        <f>'Iron &amp; Steel'!BC26</f>
        <v>1</v>
      </c>
      <c r="AH216" s="620">
        <f>'Iron &amp; Steel'!BD26</f>
        <v>1</v>
      </c>
      <c r="AI216" s="620">
        <f>'Iron &amp; Steel'!BE26</f>
        <v>0</v>
      </c>
      <c r="AJ216" s="620">
        <f>'Iron &amp; Steel'!BF26</f>
        <v>0</v>
      </c>
      <c r="AK216" s="620">
        <f>'Iron &amp; Steel'!BG26</f>
        <v>0</v>
      </c>
      <c r="AL216" s="620">
        <f>'Iron &amp; Steel'!BH26</f>
        <v>0</v>
      </c>
      <c r="AM216" s="620">
        <f>'Iron &amp; Steel'!BI26</f>
        <v>0</v>
      </c>
    </row>
    <row r="217" spans="1:41" x14ac:dyDescent="0.25">
      <c r="B217" s="620" t="s">
        <v>1451</v>
      </c>
      <c r="C217" s="620" t="s">
        <v>181</v>
      </c>
      <c r="D217" s="620" t="s">
        <v>707</v>
      </c>
      <c r="E217" s="620" t="s">
        <v>707</v>
      </c>
      <c r="F217" s="620" t="s">
        <v>707</v>
      </c>
      <c r="G217" s="620" t="s">
        <v>707</v>
      </c>
      <c r="H217" s="620" t="s">
        <v>707</v>
      </c>
      <c r="I217" s="620">
        <v>0</v>
      </c>
      <c r="J217" s="620">
        <f>'Iron &amp; Steel'!AF27</f>
        <v>1.7200000000000002</v>
      </c>
      <c r="K217" s="620">
        <f>'Iron &amp; Steel'!AG27</f>
        <v>1.7200000000000002</v>
      </c>
      <c r="L217" s="620">
        <f>'Iron &amp; Steel'!AH27</f>
        <v>1.7200000000000002</v>
      </c>
      <c r="M217" s="620">
        <f>'Iron &amp; Steel'!AI27</f>
        <v>1.7200000000000002</v>
      </c>
      <c r="N217" s="620">
        <f>'Iron &amp; Steel'!AJ27</f>
        <v>1.3200000000000003</v>
      </c>
      <c r="O217" s="620">
        <f>'Iron &amp; Steel'!AK27</f>
        <v>1.3200000000000003</v>
      </c>
      <c r="P217" s="620">
        <f>'Iron &amp; Steel'!AL27</f>
        <v>1.3200000000000003</v>
      </c>
      <c r="Q217" s="620">
        <f>'Iron &amp; Steel'!AM27</f>
        <v>1.3200000000000003</v>
      </c>
      <c r="R217" s="620">
        <f>'Iron &amp; Steel'!AN27</f>
        <v>1.3200000000000003</v>
      </c>
      <c r="S217" s="620">
        <f>'Iron &amp; Steel'!AO27</f>
        <v>1.3200000000000003</v>
      </c>
      <c r="T217" s="620">
        <f>'Iron &amp; Steel'!AP27</f>
        <v>1.3200000000000003</v>
      </c>
      <c r="U217" s="620">
        <f>'Iron &amp; Steel'!AQ27</f>
        <v>1.3200000000000003</v>
      </c>
      <c r="V217" s="620">
        <f>'Iron &amp; Steel'!AR27</f>
        <v>1.3200000000000003</v>
      </c>
      <c r="W217" s="620">
        <f>'Iron &amp; Steel'!AS27</f>
        <v>1.3200000000000003</v>
      </c>
      <c r="X217" s="620">
        <f>'Iron &amp; Steel'!AT27</f>
        <v>1.3200000000000003</v>
      </c>
      <c r="Y217" s="620">
        <f>'Iron &amp; Steel'!AU27</f>
        <v>1.3200000000000003</v>
      </c>
      <c r="Z217" s="620">
        <f>'Iron &amp; Steel'!AV27</f>
        <v>1.3200000000000003</v>
      </c>
      <c r="AA217" s="620">
        <f>'Iron &amp; Steel'!AW27</f>
        <v>1.3200000000000003</v>
      </c>
      <c r="AB217" s="620">
        <f>'Iron &amp; Steel'!AX27</f>
        <v>1.3200000000000003</v>
      </c>
      <c r="AC217" s="620">
        <f>'Iron &amp; Steel'!AY27</f>
        <v>1.3200000000000003</v>
      </c>
      <c r="AD217" s="620">
        <f>'Iron &amp; Steel'!AZ27</f>
        <v>1.3200000000000003</v>
      </c>
      <c r="AE217" s="620">
        <f>'Iron &amp; Steel'!BA27</f>
        <v>1.3200000000000003</v>
      </c>
      <c r="AF217" s="620">
        <f>'Iron &amp; Steel'!BB27</f>
        <v>1.3200000000000003</v>
      </c>
      <c r="AG217" s="620">
        <f>'Iron &amp; Steel'!BC27</f>
        <v>1.3200000000000003</v>
      </c>
      <c r="AH217" s="620">
        <f>'Iron &amp; Steel'!BD27</f>
        <v>1.3200000000000003</v>
      </c>
      <c r="AI217" s="620">
        <f>'Iron &amp; Steel'!BE27</f>
        <v>0</v>
      </c>
      <c r="AJ217" s="620">
        <f>'Iron &amp; Steel'!BF27</f>
        <v>0</v>
      </c>
      <c r="AK217" s="620">
        <f>'Iron &amp; Steel'!BG27</f>
        <v>0</v>
      </c>
      <c r="AL217" s="620">
        <f>'Iron &amp; Steel'!BH27</f>
        <v>0</v>
      </c>
      <c r="AM217" s="620">
        <f>'Iron &amp; Steel'!BI27</f>
        <v>0</v>
      </c>
    </row>
    <row r="218" spans="1:41" x14ac:dyDescent="0.25">
      <c r="B218" s="620" t="s">
        <v>1451</v>
      </c>
      <c r="C218" s="620" t="s">
        <v>1276</v>
      </c>
      <c r="D218" s="620" t="s">
        <v>707</v>
      </c>
      <c r="E218" s="620" t="s">
        <v>707</v>
      </c>
      <c r="F218" s="620" t="s">
        <v>707</v>
      </c>
      <c r="G218" s="620" t="s">
        <v>707</v>
      </c>
      <c r="H218" s="620" t="s">
        <v>707</v>
      </c>
      <c r="I218" s="620">
        <v>0</v>
      </c>
      <c r="J218" s="620">
        <v>0</v>
      </c>
    </row>
    <row r="219" spans="1:41" x14ac:dyDescent="0.25">
      <c r="B219" s="620" t="s">
        <v>1451</v>
      </c>
      <c r="C219" s="620" t="s">
        <v>1270</v>
      </c>
      <c r="D219" s="620" t="s">
        <v>707</v>
      </c>
      <c r="E219" s="620" t="s">
        <v>707</v>
      </c>
      <c r="F219" s="620" t="s">
        <v>707</v>
      </c>
      <c r="G219" s="620" t="s">
        <v>707</v>
      </c>
      <c r="H219" s="620" t="s">
        <v>707</v>
      </c>
      <c r="I219" s="620">
        <v>0</v>
      </c>
      <c r="J219" s="620">
        <v>0</v>
      </c>
    </row>
    <row r="220" spans="1:41" x14ac:dyDescent="0.25">
      <c r="B220" s="620" t="s">
        <v>1451</v>
      </c>
      <c r="C220" s="620" t="s">
        <v>1268</v>
      </c>
      <c r="D220" s="620" t="s">
        <v>707</v>
      </c>
      <c r="E220" s="620" t="s">
        <v>707</v>
      </c>
      <c r="F220" s="620" t="s">
        <v>707</v>
      </c>
      <c r="G220" s="620" t="s">
        <v>707</v>
      </c>
      <c r="H220" s="620" t="s">
        <v>707</v>
      </c>
      <c r="I220" s="620">
        <v>0</v>
      </c>
      <c r="J220" s="620">
        <v>0</v>
      </c>
    </row>
    <row r="221" spans="1:41" x14ac:dyDescent="0.25">
      <c r="B221" s="620" t="s">
        <v>1451</v>
      </c>
      <c r="C221" s="620" t="s">
        <v>1266</v>
      </c>
      <c r="D221" s="620" t="s">
        <v>707</v>
      </c>
      <c r="E221" s="620" t="s">
        <v>707</v>
      </c>
      <c r="F221" s="620" t="s">
        <v>707</v>
      </c>
      <c r="G221" s="620" t="s">
        <v>707</v>
      </c>
      <c r="H221" s="620" t="s">
        <v>707</v>
      </c>
      <c r="I221" s="620">
        <v>0</v>
      </c>
      <c r="J221" s="620">
        <v>0</v>
      </c>
    </row>
    <row r="222" spans="1:41" x14ac:dyDescent="0.25">
      <c r="B222" s="620" t="s">
        <v>1451</v>
      </c>
      <c r="C222" s="620" t="s">
        <v>1262</v>
      </c>
      <c r="D222" s="620" t="s">
        <v>707</v>
      </c>
      <c r="E222" s="620" t="s">
        <v>707</v>
      </c>
      <c r="F222" s="620" t="s">
        <v>707</v>
      </c>
      <c r="G222" s="620" t="s">
        <v>707</v>
      </c>
      <c r="H222" s="620" t="s">
        <v>707</v>
      </c>
      <c r="I222" s="620">
        <v>0</v>
      </c>
      <c r="J222" s="620">
        <v>0</v>
      </c>
    </row>
    <row r="223" spans="1:41" x14ac:dyDescent="0.25">
      <c r="A223" s="113" t="s">
        <v>1052</v>
      </c>
      <c r="B223" s="113" t="s">
        <v>1450</v>
      </c>
      <c r="C223" s="113" t="s">
        <v>1429</v>
      </c>
      <c r="D223" s="113" t="s">
        <v>707</v>
      </c>
      <c r="E223" s="113" t="s">
        <v>707</v>
      </c>
      <c r="F223" s="113" t="s">
        <v>707</v>
      </c>
      <c r="G223" s="113" t="s">
        <v>707</v>
      </c>
      <c r="H223" s="113" t="s">
        <v>594</v>
      </c>
      <c r="I223" s="113">
        <v>0</v>
      </c>
      <c r="J223" s="113">
        <v>5.0999999999999996</v>
      </c>
      <c r="K223" s="113">
        <f t="shared" ref="K223:AO223" si="0">J223</f>
        <v>5.0999999999999996</v>
      </c>
      <c r="L223" s="113">
        <f t="shared" si="0"/>
        <v>5.0999999999999996</v>
      </c>
      <c r="M223" s="113">
        <f t="shared" si="0"/>
        <v>5.0999999999999996</v>
      </c>
      <c r="N223" s="113">
        <f t="shared" si="0"/>
        <v>5.0999999999999996</v>
      </c>
      <c r="O223" s="113">
        <f t="shared" si="0"/>
        <v>5.0999999999999996</v>
      </c>
      <c r="P223" s="113">
        <f t="shared" si="0"/>
        <v>5.0999999999999996</v>
      </c>
      <c r="Q223" s="113">
        <f t="shared" si="0"/>
        <v>5.0999999999999996</v>
      </c>
      <c r="R223" s="113">
        <f t="shared" si="0"/>
        <v>5.0999999999999996</v>
      </c>
      <c r="S223" s="113">
        <f t="shared" si="0"/>
        <v>5.0999999999999996</v>
      </c>
      <c r="T223" s="113">
        <f t="shared" si="0"/>
        <v>5.0999999999999996</v>
      </c>
      <c r="U223" s="113">
        <f t="shared" si="0"/>
        <v>5.0999999999999996</v>
      </c>
      <c r="V223" s="113">
        <f t="shared" si="0"/>
        <v>5.0999999999999996</v>
      </c>
      <c r="W223" s="113">
        <f t="shared" si="0"/>
        <v>5.0999999999999996</v>
      </c>
      <c r="X223" s="113">
        <f t="shared" si="0"/>
        <v>5.0999999999999996</v>
      </c>
      <c r="Y223" s="113">
        <f t="shared" si="0"/>
        <v>5.0999999999999996</v>
      </c>
      <c r="Z223" s="113">
        <f t="shared" si="0"/>
        <v>5.0999999999999996</v>
      </c>
      <c r="AA223" s="113">
        <f t="shared" si="0"/>
        <v>5.0999999999999996</v>
      </c>
      <c r="AB223" s="113">
        <f t="shared" si="0"/>
        <v>5.0999999999999996</v>
      </c>
      <c r="AC223" s="113">
        <f t="shared" si="0"/>
        <v>5.0999999999999996</v>
      </c>
      <c r="AD223" s="113">
        <f t="shared" si="0"/>
        <v>5.0999999999999996</v>
      </c>
      <c r="AE223" s="113">
        <f t="shared" si="0"/>
        <v>5.0999999999999996</v>
      </c>
      <c r="AF223" s="113">
        <f t="shared" si="0"/>
        <v>5.0999999999999996</v>
      </c>
      <c r="AG223" s="113">
        <f t="shared" si="0"/>
        <v>5.0999999999999996</v>
      </c>
      <c r="AH223" s="113">
        <f t="shared" si="0"/>
        <v>5.0999999999999996</v>
      </c>
      <c r="AI223" s="113">
        <f t="shared" si="0"/>
        <v>5.0999999999999996</v>
      </c>
      <c r="AJ223" s="113">
        <f t="shared" si="0"/>
        <v>5.0999999999999996</v>
      </c>
      <c r="AK223" s="113">
        <f t="shared" si="0"/>
        <v>5.0999999999999996</v>
      </c>
      <c r="AL223" s="113">
        <f t="shared" si="0"/>
        <v>5.0999999999999996</v>
      </c>
      <c r="AM223" s="113">
        <f t="shared" si="0"/>
        <v>5.0999999999999996</v>
      </c>
      <c r="AN223" s="113">
        <f t="shared" si="0"/>
        <v>5.0999999999999996</v>
      </c>
      <c r="AO223" s="113">
        <f t="shared" si="0"/>
        <v>5.0999999999999996</v>
      </c>
    </row>
    <row r="224" spans="1:41" x14ac:dyDescent="0.25">
      <c r="A224" s="113" t="s">
        <v>1052</v>
      </c>
      <c r="B224" s="113" t="s">
        <v>1450</v>
      </c>
      <c r="C224" s="113" t="s">
        <v>1427</v>
      </c>
      <c r="D224" s="113" t="s">
        <v>707</v>
      </c>
      <c r="E224" s="113" t="s">
        <v>707</v>
      </c>
      <c r="F224" s="113" t="s">
        <v>707</v>
      </c>
      <c r="G224" s="113" t="s">
        <v>707</v>
      </c>
      <c r="H224" s="113" t="str">
        <f>PAMS!E$65</f>
        <v>UP</v>
      </c>
      <c r="I224" s="113">
        <v>0</v>
      </c>
      <c r="J224" s="113">
        <v>0</v>
      </c>
      <c r="K224" s="113">
        <f t="shared" ref="K224:AO224" si="1">J224</f>
        <v>0</v>
      </c>
      <c r="L224" s="113">
        <f t="shared" si="1"/>
        <v>0</v>
      </c>
      <c r="M224" s="113">
        <f t="shared" si="1"/>
        <v>0</v>
      </c>
      <c r="N224" s="113">
        <f t="shared" si="1"/>
        <v>0</v>
      </c>
      <c r="O224" s="113">
        <f t="shared" si="1"/>
        <v>0</v>
      </c>
      <c r="P224" s="113">
        <f t="shared" si="1"/>
        <v>0</v>
      </c>
      <c r="Q224" s="113">
        <f t="shared" si="1"/>
        <v>0</v>
      </c>
      <c r="R224" s="113">
        <f t="shared" si="1"/>
        <v>0</v>
      </c>
      <c r="S224" s="113">
        <f t="shared" si="1"/>
        <v>0</v>
      </c>
      <c r="T224" s="113">
        <f t="shared" si="1"/>
        <v>0</v>
      </c>
      <c r="U224" s="113">
        <f t="shared" si="1"/>
        <v>0</v>
      </c>
      <c r="V224" s="113">
        <f t="shared" si="1"/>
        <v>0</v>
      </c>
      <c r="W224" s="113">
        <f t="shared" si="1"/>
        <v>0</v>
      </c>
      <c r="X224" s="113">
        <f t="shared" si="1"/>
        <v>0</v>
      </c>
      <c r="Y224" s="113">
        <f t="shared" si="1"/>
        <v>0</v>
      </c>
      <c r="Z224" s="113">
        <f t="shared" si="1"/>
        <v>0</v>
      </c>
      <c r="AA224" s="113">
        <f t="shared" si="1"/>
        <v>0</v>
      </c>
      <c r="AB224" s="113">
        <f t="shared" si="1"/>
        <v>0</v>
      </c>
      <c r="AC224" s="113">
        <f t="shared" si="1"/>
        <v>0</v>
      </c>
      <c r="AD224" s="113">
        <f t="shared" si="1"/>
        <v>0</v>
      </c>
      <c r="AE224" s="113">
        <f t="shared" si="1"/>
        <v>0</v>
      </c>
      <c r="AF224" s="113">
        <f t="shared" si="1"/>
        <v>0</v>
      </c>
      <c r="AG224" s="113">
        <f t="shared" si="1"/>
        <v>0</v>
      </c>
      <c r="AH224" s="113">
        <f t="shared" si="1"/>
        <v>0</v>
      </c>
      <c r="AI224" s="113">
        <f t="shared" si="1"/>
        <v>0</v>
      </c>
      <c r="AJ224" s="113">
        <f t="shared" si="1"/>
        <v>0</v>
      </c>
      <c r="AK224" s="113">
        <f t="shared" si="1"/>
        <v>0</v>
      </c>
      <c r="AL224" s="113">
        <f t="shared" si="1"/>
        <v>0</v>
      </c>
      <c r="AM224" s="113">
        <f t="shared" si="1"/>
        <v>0</v>
      </c>
      <c r="AN224" s="113">
        <f t="shared" si="1"/>
        <v>0</v>
      </c>
      <c r="AO224" s="113">
        <f t="shared" si="1"/>
        <v>0</v>
      </c>
    </row>
    <row r="225" spans="1:41" x14ac:dyDescent="0.25">
      <c r="A225" s="113" t="s">
        <v>1052</v>
      </c>
      <c r="B225" s="113" t="s">
        <v>1450</v>
      </c>
      <c r="C225" s="113" t="s">
        <v>1425</v>
      </c>
      <c r="D225" s="113" t="s">
        <v>707</v>
      </c>
      <c r="E225" s="113" t="s">
        <v>707</v>
      </c>
      <c r="F225" s="113" t="s">
        <v>707</v>
      </c>
      <c r="G225" s="113" t="s">
        <v>707</v>
      </c>
      <c r="H225" s="113" t="str">
        <f>PAMS!E$65</f>
        <v>UP</v>
      </c>
      <c r="I225" s="113">
        <v>0</v>
      </c>
      <c r="J225" s="113">
        <v>0</v>
      </c>
      <c r="K225" s="113">
        <f t="shared" ref="K225:AO225" si="2">J225</f>
        <v>0</v>
      </c>
      <c r="L225" s="113">
        <f t="shared" si="2"/>
        <v>0</v>
      </c>
      <c r="M225" s="113">
        <f t="shared" si="2"/>
        <v>0</v>
      </c>
      <c r="N225" s="113">
        <f t="shared" si="2"/>
        <v>0</v>
      </c>
      <c r="O225" s="113">
        <f t="shared" si="2"/>
        <v>0</v>
      </c>
      <c r="P225" s="113">
        <f t="shared" si="2"/>
        <v>0</v>
      </c>
      <c r="Q225" s="113">
        <f t="shared" si="2"/>
        <v>0</v>
      </c>
      <c r="R225" s="113">
        <f t="shared" si="2"/>
        <v>0</v>
      </c>
      <c r="S225" s="113">
        <f t="shared" si="2"/>
        <v>0</v>
      </c>
      <c r="T225" s="113">
        <f t="shared" si="2"/>
        <v>0</v>
      </c>
      <c r="U225" s="113">
        <f t="shared" si="2"/>
        <v>0</v>
      </c>
      <c r="V225" s="113">
        <f t="shared" si="2"/>
        <v>0</v>
      </c>
      <c r="W225" s="113">
        <f t="shared" si="2"/>
        <v>0</v>
      </c>
      <c r="X225" s="113">
        <f t="shared" si="2"/>
        <v>0</v>
      </c>
      <c r="Y225" s="113">
        <f t="shared" si="2"/>
        <v>0</v>
      </c>
      <c r="Z225" s="113">
        <f t="shared" si="2"/>
        <v>0</v>
      </c>
      <c r="AA225" s="113">
        <f t="shared" si="2"/>
        <v>0</v>
      </c>
      <c r="AB225" s="113">
        <f t="shared" si="2"/>
        <v>0</v>
      </c>
      <c r="AC225" s="113">
        <f t="shared" si="2"/>
        <v>0</v>
      </c>
      <c r="AD225" s="113">
        <f t="shared" si="2"/>
        <v>0</v>
      </c>
      <c r="AE225" s="113">
        <f t="shared" si="2"/>
        <v>0</v>
      </c>
      <c r="AF225" s="113">
        <f t="shared" si="2"/>
        <v>0</v>
      </c>
      <c r="AG225" s="113">
        <f t="shared" si="2"/>
        <v>0</v>
      </c>
      <c r="AH225" s="113">
        <f t="shared" si="2"/>
        <v>0</v>
      </c>
      <c r="AI225" s="113">
        <f t="shared" si="2"/>
        <v>0</v>
      </c>
      <c r="AJ225" s="113">
        <f t="shared" si="2"/>
        <v>0</v>
      </c>
      <c r="AK225" s="113">
        <f t="shared" si="2"/>
        <v>0</v>
      </c>
      <c r="AL225" s="113">
        <f t="shared" si="2"/>
        <v>0</v>
      </c>
      <c r="AM225" s="113">
        <f t="shared" si="2"/>
        <v>0</v>
      </c>
      <c r="AN225" s="113">
        <f t="shared" si="2"/>
        <v>0</v>
      </c>
      <c r="AO225" s="113">
        <f t="shared" si="2"/>
        <v>0</v>
      </c>
    </row>
    <row r="226" spans="1:41" x14ac:dyDescent="0.25">
      <c r="A226" s="113" t="s">
        <v>1052</v>
      </c>
      <c r="B226" s="113" t="s">
        <v>1450</v>
      </c>
      <c r="C226" s="113" t="s">
        <v>1423</v>
      </c>
      <c r="D226" s="113" t="s">
        <v>707</v>
      </c>
      <c r="E226" s="113" t="s">
        <v>707</v>
      </c>
      <c r="F226" s="113" t="s">
        <v>707</v>
      </c>
      <c r="G226" s="113" t="s">
        <v>707</v>
      </c>
      <c r="H226" s="113" t="s">
        <v>594</v>
      </c>
      <c r="I226" s="113">
        <v>0</v>
      </c>
      <c r="J226" s="113">
        <v>1.24</v>
      </c>
      <c r="K226" s="113">
        <f t="shared" ref="K226:AO226" si="3">J226</f>
        <v>1.24</v>
      </c>
      <c r="L226" s="113">
        <f t="shared" si="3"/>
        <v>1.24</v>
      </c>
      <c r="M226" s="113">
        <f t="shared" si="3"/>
        <v>1.24</v>
      </c>
      <c r="N226" s="113">
        <f t="shared" si="3"/>
        <v>1.24</v>
      </c>
      <c r="O226" s="113">
        <f t="shared" si="3"/>
        <v>1.24</v>
      </c>
      <c r="P226" s="113">
        <f t="shared" si="3"/>
        <v>1.24</v>
      </c>
      <c r="Q226" s="113">
        <f t="shared" si="3"/>
        <v>1.24</v>
      </c>
      <c r="R226" s="113">
        <f t="shared" si="3"/>
        <v>1.24</v>
      </c>
      <c r="S226" s="113">
        <f t="shared" si="3"/>
        <v>1.24</v>
      </c>
      <c r="T226" s="113">
        <f t="shared" si="3"/>
        <v>1.24</v>
      </c>
      <c r="U226" s="113">
        <f t="shared" si="3"/>
        <v>1.24</v>
      </c>
      <c r="V226" s="113">
        <f t="shared" si="3"/>
        <v>1.24</v>
      </c>
      <c r="W226" s="113">
        <f t="shared" si="3"/>
        <v>1.24</v>
      </c>
      <c r="X226" s="113">
        <f t="shared" si="3"/>
        <v>1.24</v>
      </c>
      <c r="Y226" s="113">
        <f t="shared" si="3"/>
        <v>1.24</v>
      </c>
      <c r="Z226" s="113">
        <f t="shared" si="3"/>
        <v>1.24</v>
      </c>
      <c r="AA226" s="113">
        <f t="shared" si="3"/>
        <v>1.24</v>
      </c>
      <c r="AB226" s="113">
        <f t="shared" si="3"/>
        <v>1.24</v>
      </c>
      <c r="AC226" s="113">
        <f t="shared" si="3"/>
        <v>1.24</v>
      </c>
      <c r="AD226" s="113">
        <f t="shared" si="3"/>
        <v>1.24</v>
      </c>
      <c r="AE226" s="113">
        <f t="shared" si="3"/>
        <v>1.24</v>
      </c>
      <c r="AF226" s="113">
        <f t="shared" si="3"/>
        <v>1.24</v>
      </c>
      <c r="AG226" s="113">
        <f t="shared" si="3"/>
        <v>1.24</v>
      </c>
      <c r="AH226" s="113">
        <f t="shared" si="3"/>
        <v>1.24</v>
      </c>
      <c r="AI226" s="113">
        <f t="shared" si="3"/>
        <v>1.24</v>
      </c>
      <c r="AJ226" s="113">
        <f t="shared" si="3"/>
        <v>1.24</v>
      </c>
      <c r="AK226" s="113">
        <f t="shared" si="3"/>
        <v>1.24</v>
      </c>
      <c r="AL226" s="113">
        <f t="shared" si="3"/>
        <v>1.24</v>
      </c>
      <c r="AM226" s="113">
        <f t="shared" si="3"/>
        <v>1.24</v>
      </c>
      <c r="AN226" s="113">
        <f t="shared" si="3"/>
        <v>1.24</v>
      </c>
      <c r="AO226" s="113">
        <f t="shared" si="3"/>
        <v>1.24</v>
      </c>
    </row>
    <row r="227" spans="1:41" x14ac:dyDescent="0.25">
      <c r="A227" s="113" t="s">
        <v>1052</v>
      </c>
      <c r="B227" s="113" t="s">
        <v>1450</v>
      </c>
      <c r="C227" s="113" t="s">
        <v>1421</v>
      </c>
      <c r="D227" s="113" t="s">
        <v>707</v>
      </c>
      <c r="E227" s="113" t="s">
        <v>707</v>
      </c>
      <c r="F227" s="113" t="s">
        <v>707</v>
      </c>
      <c r="G227" s="113" t="s">
        <v>707</v>
      </c>
      <c r="H227" s="113" t="str">
        <f>PAMS!E$65</f>
        <v>UP</v>
      </c>
      <c r="I227" s="113">
        <v>0</v>
      </c>
      <c r="J227" s="113">
        <v>0</v>
      </c>
      <c r="K227" s="113">
        <f t="shared" ref="K227:AO227" si="4">J227</f>
        <v>0</v>
      </c>
      <c r="L227" s="113">
        <f t="shared" si="4"/>
        <v>0</v>
      </c>
      <c r="M227" s="113">
        <f t="shared" si="4"/>
        <v>0</v>
      </c>
      <c r="N227" s="113">
        <f t="shared" si="4"/>
        <v>0</v>
      </c>
      <c r="O227" s="113">
        <f t="shared" si="4"/>
        <v>0</v>
      </c>
      <c r="P227" s="113">
        <f t="shared" si="4"/>
        <v>0</v>
      </c>
      <c r="Q227" s="113">
        <f t="shared" si="4"/>
        <v>0</v>
      </c>
      <c r="R227" s="113">
        <f t="shared" si="4"/>
        <v>0</v>
      </c>
      <c r="S227" s="113">
        <f t="shared" si="4"/>
        <v>0</v>
      </c>
      <c r="T227" s="113">
        <f t="shared" si="4"/>
        <v>0</v>
      </c>
      <c r="U227" s="113">
        <f t="shared" si="4"/>
        <v>0</v>
      </c>
      <c r="V227" s="113">
        <f t="shared" si="4"/>
        <v>0</v>
      </c>
      <c r="W227" s="113">
        <f t="shared" si="4"/>
        <v>0</v>
      </c>
      <c r="X227" s="113">
        <f t="shared" si="4"/>
        <v>0</v>
      </c>
      <c r="Y227" s="113">
        <f t="shared" si="4"/>
        <v>0</v>
      </c>
      <c r="Z227" s="113">
        <f t="shared" si="4"/>
        <v>0</v>
      </c>
      <c r="AA227" s="113">
        <f t="shared" si="4"/>
        <v>0</v>
      </c>
      <c r="AB227" s="113">
        <f t="shared" si="4"/>
        <v>0</v>
      </c>
      <c r="AC227" s="113">
        <f t="shared" si="4"/>
        <v>0</v>
      </c>
      <c r="AD227" s="113">
        <f t="shared" si="4"/>
        <v>0</v>
      </c>
      <c r="AE227" s="113">
        <f t="shared" si="4"/>
        <v>0</v>
      </c>
      <c r="AF227" s="113">
        <f t="shared" si="4"/>
        <v>0</v>
      </c>
      <c r="AG227" s="113">
        <f t="shared" si="4"/>
        <v>0</v>
      </c>
      <c r="AH227" s="113">
        <f t="shared" si="4"/>
        <v>0</v>
      </c>
      <c r="AI227" s="113">
        <f t="shared" si="4"/>
        <v>0</v>
      </c>
      <c r="AJ227" s="113">
        <f t="shared" si="4"/>
        <v>0</v>
      </c>
      <c r="AK227" s="113">
        <f t="shared" si="4"/>
        <v>0</v>
      </c>
      <c r="AL227" s="113">
        <f t="shared" si="4"/>
        <v>0</v>
      </c>
      <c r="AM227" s="113">
        <f t="shared" si="4"/>
        <v>0</v>
      </c>
      <c r="AN227" s="113">
        <f t="shared" si="4"/>
        <v>0</v>
      </c>
      <c r="AO227" s="113">
        <f t="shared" si="4"/>
        <v>0</v>
      </c>
    </row>
    <row r="228" spans="1:41" x14ac:dyDescent="0.25">
      <c r="A228" s="113" t="s">
        <v>1052</v>
      </c>
      <c r="B228" s="113" t="s">
        <v>1450</v>
      </c>
      <c r="C228" s="113" t="s">
        <v>1419</v>
      </c>
      <c r="D228" s="113" t="s">
        <v>707</v>
      </c>
      <c r="E228" s="113" t="s">
        <v>707</v>
      </c>
      <c r="F228" s="113" t="s">
        <v>707</v>
      </c>
      <c r="G228" s="113" t="s">
        <v>707</v>
      </c>
      <c r="H228" s="113" t="str">
        <f>PAMS!E$65</f>
        <v>UP</v>
      </c>
      <c r="I228" s="113">
        <v>0</v>
      </c>
      <c r="J228" s="113">
        <v>0</v>
      </c>
      <c r="K228" s="113">
        <f t="shared" ref="K228:AO228" si="5">J228</f>
        <v>0</v>
      </c>
      <c r="L228" s="113">
        <f t="shared" si="5"/>
        <v>0</v>
      </c>
      <c r="M228" s="113">
        <f t="shared" si="5"/>
        <v>0</v>
      </c>
      <c r="N228" s="113">
        <f t="shared" si="5"/>
        <v>0</v>
      </c>
      <c r="O228" s="113">
        <f t="shared" si="5"/>
        <v>0</v>
      </c>
      <c r="P228" s="113">
        <f t="shared" si="5"/>
        <v>0</v>
      </c>
      <c r="Q228" s="113">
        <f t="shared" si="5"/>
        <v>0</v>
      </c>
      <c r="R228" s="113">
        <f t="shared" si="5"/>
        <v>0</v>
      </c>
      <c r="S228" s="113">
        <f t="shared" si="5"/>
        <v>0</v>
      </c>
      <c r="T228" s="113">
        <f t="shared" si="5"/>
        <v>0</v>
      </c>
      <c r="U228" s="113">
        <f t="shared" si="5"/>
        <v>0</v>
      </c>
      <c r="V228" s="113">
        <f t="shared" si="5"/>
        <v>0</v>
      </c>
      <c r="W228" s="113">
        <f t="shared" si="5"/>
        <v>0</v>
      </c>
      <c r="X228" s="113">
        <f t="shared" si="5"/>
        <v>0</v>
      </c>
      <c r="Y228" s="113">
        <f t="shared" si="5"/>
        <v>0</v>
      </c>
      <c r="Z228" s="113">
        <f t="shared" si="5"/>
        <v>0</v>
      </c>
      <c r="AA228" s="113">
        <f t="shared" si="5"/>
        <v>0</v>
      </c>
      <c r="AB228" s="113">
        <f t="shared" si="5"/>
        <v>0</v>
      </c>
      <c r="AC228" s="113">
        <f t="shared" si="5"/>
        <v>0</v>
      </c>
      <c r="AD228" s="113">
        <f t="shared" si="5"/>
        <v>0</v>
      </c>
      <c r="AE228" s="113">
        <f t="shared" si="5"/>
        <v>0</v>
      </c>
      <c r="AF228" s="113">
        <f t="shared" si="5"/>
        <v>0</v>
      </c>
      <c r="AG228" s="113">
        <f t="shared" si="5"/>
        <v>0</v>
      </c>
      <c r="AH228" s="113">
        <f t="shared" si="5"/>
        <v>0</v>
      </c>
      <c r="AI228" s="113">
        <f t="shared" si="5"/>
        <v>0</v>
      </c>
      <c r="AJ228" s="113">
        <f t="shared" si="5"/>
        <v>0</v>
      </c>
      <c r="AK228" s="113">
        <f t="shared" si="5"/>
        <v>0</v>
      </c>
      <c r="AL228" s="113">
        <f t="shared" si="5"/>
        <v>0</v>
      </c>
      <c r="AM228" s="113">
        <f t="shared" si="5"/>
        <v>0</v>
      </c>
      <c r="AN228" s="113">
        <f t="shared" si="5"/>
        <v>0</v>
      </c>
      <c r="AO228" s="113">
        <f t="shared" si="5"/>
        <v>0</v>
      </c>
    </row>
    <row r="229" spans="1:41" x14ac:dyDescent="0.25">
      <c r="A229" s="113" t="s">
        <v>1052</v>
      </c>
      <c r="B229" s="113" t="s">
        <v>1450</v>
      </c>
      <c r="C229" s="113" t="s">
        <v>1417</v>
      </c>
      <c r="D229" s="113" t="s">
        <v>707</v>
      </c>
      <c r="E229" s="113" t="s">
        <v>707</v>
      </c>
      <c r="F229" s="113" t="s">
        <v>707</v>
      </c>
      <c r="G229" s="113" t="s">
        <v>707</v>
      </c>
      <c r="H229" s="113" t="s">
        <v>594</v>
      </c>
      <c r="I229" s="113">
        <v>0</v>
      </c>
      <c r="J229" s="113">
        <v>1.44</v>
      </c>
      <c r="K229" s="113">
        <f t="shared" ref="K229:AO229" si="6">J229</f>
        <v>1.44</v>
      </c>
      <c r="L229" s="113">
        <f t="shared" si="6"/>
        <v>1.44</v>
      </c>
      <c r="M229" s="113">
        <f t="shared" si="6"/>
        <v>1.44</v>
      </c>
      <c r="N229" s="113">
        <f t="shared" si="6"/>
        <v>1.44</v>
      </c>
      <c r="O229" s="113">
        <f t="shared" si="6"/>
        <v>1.44</v>
      </c>
      <c r="P229" s="113">
        <f t="shared" si="6"/>
        <v>1.44</v>
      </c>
      <c r="Q229" s="113">
        <f t="shared" si="6"/>
        <v>1.44</v>
      </c>
      <c r="R229" s="113">
        <f t="shared" si="6"/>
        <v>1.44</v>
      </c>
      <c r="S229" s="113">
        <f t="shared" si="6"/>
        <v>1.44</v>
      </c>
      <c r="T229" s="113">
        <f t="shared" si="6"/>
        <v>1.44</v>
      </c>
      <c r="U229" s="113">
        <f t="shared" si="6"/>
        <v>1.44</v>
      </c>
      <c r="V229" s="113">
        <f t="shared" si="6"/>
        <v>1.44</v>
      </c>
      <c r="W229" s="113">
        <f t="shared" si="6"/>
        <v>1.44</v>
      </c>
      <c r="X229" s="113">
        <f t="shared" si="6"/>
        <v>1.44</v>
      </c>
      <c r="Y229" s="113">
        <f t="shared" si="6"/>
        <v>1.44</v>
      </c>
      <c r="Z229" s="113">
        <f t="shared" si="6"/>
        <v>1.44</v>
      </c>
      <c r="AA229" s="113">
        <f t="shared" si="6"/>
        <v>1.44</v>
      </c>
      <c r="AB229" s="113">
        <f t="shared" si="6"/>
        <v>1.44</v>
      </c>
      <c r="AC229" s="113">
        <f t="shared" si="6"/>
        <v>1.44</v>
      </c>
      <c r="AD229" s="113">
        <f t="shared" si="6"/>
        <v>1.44</v>
      </c>
      <c r="AE229" s="113">
        <f t="shared" si="6"/>
        <v>1.44</v>
      </c>
      <c r="AF229" s="113">
        <f t="shared" si="6"/>
        <v>1.44</v>
      </c>
      <c r="AG229" s="113">
        <f t="shared" si="6"/>
        <v>1.44</v>
      </c>
      <c r="AH229" s="113">
        <f t="shared" si="6"/>
        <v>1.44</v>
      </c>
      <c r="AI229" s="113">
        <f t="shared" si="6"/>
        <v>1.44</v>
      </c>
      <c r="AJ229" s="113">
        <f t="shared" si="6"/>
        <v>1.44</v>
      </c>
      <c r="AK229" s="113">
        <f t="shared" si="6"/>
        <v>1.44</v>
      </c>
      <c r="AL229" s="113">
        <f t="shared" si="6"/>
        <v>1.44</v>
      </c>
      <c r="AM229" s="113">
        <f t="shared" si="6"/>
        <v>1.44</v>
      </c>
      <c r="AN229" s="113">
        <f t="shared" si="6"/>
        <v>1.44</v>
      </c>
      <c r="AO229" s="113">
        <f t="shared" si="6"/>
        <v>1.44</v>
      </c>
    </row>
    <row r="230" spans="1:41" x14ac:dyDescent="0.25">
      <c r="A230" s="113" t="s">
        <v>1052</v>
      </c>
      <c r="B230" s="113" t="s">
        <v>1450</v>
      </c>
      <c r="C230" s="113" t="s">
        <v>1415</v>
      </c>
      <c r="D230" s="113" t="s">
        <v>707</v>
      </c>
      <c r="E230" s="113" t="s">
        <v>707</v>
      </c>
      <c r="F230" s="113" t="s">
        <v>707</v>
      </c>
      <c r="G230" s="113" t="s">
        <v>707</v>
      </c>
      <c r="H230" s="113" t="str">
        <f>PAMS!E$65</f>
        <v>UP</v>
      </c>
      <c r="I230" s="113">
        <v>0</v>
      </c>
      <c r="J230" s="113">
        <v>0</v>
      </c>
      <c r="K230" s="113">
        <f t="shared" ref="K230:AO230" si="7">J230</f>
        <v>0</v>
      </c>
      <c r="L230" s="113">
        <f t="shared" si="7"/>
        <v>0</v>
      </c>
      <c r="M230" s="113">
        <f t="shared" si="7"/>
        <v>0</v>
      </c>
      <c r="N230" s="113">
        <f t="shared" si="7"/>
        <v>0</v>
      </c>
      <c r="O230" s="113">
        <f t="shared" si="7"/>
        <v>0</v>
      </c>
      <c r="P230" s="113">
        <f t="shared" si="7"/>
        <v>0</v>
      </c>
      <c r="Q230" s="113">
        <f t="shared" si="7"/>
        <v>0</v>
      </c>
      <c r="R230" s="113">
        <f t="shared" si="7"/>
        <v>0</v>
      </c>
      <c r="S230" s="113">
        <f t="shared" si="7"/>
        <v>0</v>
      </c>
      <c r="T230" s="113">
        <f t="shared" si="7"/>
        <v>0</v>
      </c>
      <c r="U230" s="113">
        <f t="shared" si="7"/>
        <v>0</v>
      </c>
      <c r="V230" s="113">
        <f t="shared" si="7"/>
        <v>0</v>
      </c>
      <c r="W230" s="113">
        <f t="shared" si="7"/>
        <v>0</v>
      </c>
      <c r="X230" s="113">
        <f t="shared" si="7"/>
        <v>0</v>
      </c>
      <c r="Y230" s="113">
        <f t="shared" si="7"/>
        <v>0</v>
      </c>
      <c r="Z230" s="113">
        <f t="shared" si="7"/>
        <v>0</v>
      </c>
      <c r="AA230" s="113">
        <f t="shared" si="7"/>
        <v>0</v>
      </c>
      <c r="AB230" s="113">
        <f t="shared" si="7"/>
        <v>0</v>
      </c>
      <c r="AC230" s="113">
        <f t="shared" si="7"/>
        <v>0</v>
      </c>
      <c r="AD230" s="113">
        <f t="shared" si="7"/>
        <v>0</v>
      </c>
      <c r="AE230" s="113">
        <f t="shared" si="7"/>
        <v>0</v>
      </c>
      <c r="AF230" s="113">
        <f t="shared" si="7"/>
        <v>0</v>
      </c>
      <c r="AG230" s="113">
        <f t="shared" si="7"/>
        <v>0</v>
      </c>
      <c r="AH230" s="113">
        <f t="shared" si="7"/>
        <v>0</v>
      </c>
      <c r="AI230" s="113">
        <f t="shared" si="7"/>
        <v>0</v>
      </c>
      <c r="AJ230" s="113">
        <f t="shared" si="7"/>
        <v>0</v>
      </c>
      <c r="AK230" s="113">
        <f t="shared" si="7"/>
        <v>0</v>
      </c>
      <c r="AL230" s="113">
        <f t="shared" si="7"/>
        <v>0</v>
      </c>
      <c r="AM230" s="113">
        <f t="shared" si="7"/>
        <v>0</v>
      </c>
      <c r="AN230" s="113">
        <f t="shared" si="7"/>
        <v>0</v>
      </c>
      <c r="AO230" s="113">
        <f t="shared" si="7"/>
        <v>0</v>
      </c>
    </row>
    <row r="231" spans="1:41" x14ac:dyDescent="0.25">
      <c r="A231" s="113" t="s">
        <v>1052</v>
      </c>
      <c r="B231" s="113" t="s">
        <v>1450</v>
      </c>
      <c r="C231" s="113" t="s">
        <v>1413</v>
      </c>
      <c r="D231" s="113" t="s">
        <v>707</v>
      </c>
      <c r="E231" s="113" t="s">
        <v>707</v>
      </c>
      <c r="F231" s="113" t="s">
        <v>707</v>
      </c>
      <c r="G231" s="113" t="s">
        <v>707</v>
      </c>
      <c r="H231" s="113" t="str">
        <f>PAMS!E$65</f>
        <v>UP</v>
      </c>
      <c r="I231" s="113">
        <v>0</v>
      </c>
      <c r="J231" s="113">
        <v>0</v>
      </c>
      <c r="K231" s="113">
        <f t="shared" ref="K231:AO231" si="8">J231</f>
        <v>0</v>
      </c>
      <c r="L231" s="113">
        <f t="shared" si="8"/>
        <v>0</v>
      </c>
      <c r="M231" s="113">
        <f t="shared" si="8"/>
        <v>0</v>
      </c>
      <c r="N231" s="113">
        <f t="shared" si="8"/>
        <v>0</v>
      </c>
      <c r="O231" s="113">
        <f t="shared" si="8"/>
        <v>0</v>
      </c>
      <c r="P231" s="113">
        <f t="shared" si="8"/>
        <v>0</v>
      </c>
      <c r="Q231" s="113">
        <f t="shared" si="8"/>
        <v>0</v>
      </c>
      <c r="R231" s="113">
        <f t="shared" si="8"/>
        <v>0</v>
      </c>
      <c r="S231" s="113">
        <f t="shared" si="8"/>
        <v>0</v>
      </c>
      <c r="T231" s="113">
        <f t="shared" si="8"/>
        <v>0</v>
      </c>
      <c r="U231" s="113">
        <f t="shared" si="8"/>
        <v>0</v>
      </c>
      <c r="V231" s="113">
        <f t="shared" si="8"/>
        <v>0</v>
      </c>
      <c r="W231" s="113">
        <f t="shared" si="8"/>
        <v>0</v>
      </c>
      <c r="X231" s="113">
        <f t="shared" si="8"/>
        <v>0</v>
      </c>
      <c r="Y231" s="113">
        <f t="shared" si="8"/>
        <v>0</v>
      </c>
      <c r="Z231" s="113">
        <f t="shared" si="8"/>
        <v>0</v>
      </c>
      <c r="AA231" s="113">
        <f t="shared" si="8"/>
        <v>0</v>
      </c>
      <c r="AB231" s="113">
        <f t="shared" si="8"/>
        <v>0</v>
      </c>
      <c r="AC231" s="113">
        <f t="shared" si="8"/>
        <v>0</v>
      </c>
      <c r="AD231" s="113">
        <f t="shared" si="8"/>
        <v>0</v>
      </c>
      <c r="AE231" s="113">
        <f t="shared" si="8"/>
        <v>0</v>
      </c>
      <c r="AF231" s="113">
        <f t="shared" si="8"/>
        <v>0</v>
      </c>
      <c r="AG231" s="113">
        <f t="shared" si="8"/>
        <v>0</v>
      </c>
      <c r="AH231" s="113">
        <f t="shared" si="8"/>
        <v>0</v>
      </c>
      <c r="AI231" s="113">
        <f t="shared" si="8"/>
        <v>0</v>
      </c>
      <c r="AJ231" s="113">
        <f t="shared" si="8"/>
        <v>0</v>
      </c>
      <c r="AK231" s="113">
        <f t="shared" si="8"/>
        <v>0</v>
      </c>
      <c r="AL231" s="113">
        <f t="shared" si="8"/>
        <v>0</v>
      </c>
      <c r="AM231" s="113">
        <f t="shared" si="8"/>
        <v>0</v>
      </c>
      <c r="AN231" s="113">
        <f t="shared" si="8"/>
        <v>0</v>
      </c>
      <c r="AO231" s="113">
        <f t="shared" si="8"/>
        <v>0</v>
      </c>
    </row>
    <row r="232" spans="1:41" x14ac:dyDescent="0.25">
      <c r="A232" s="113" t="s">
        <v>1052</v>
      </c>
      <c r="B232" s="620" t="s">
        <v>1450</v>
      </c>
      <c r="C232" s="620" t="s">
        <v>1411</v>
      </c>
      <c r="D232" s="620" t="s">
        <v>707</v>
      </c>
      <c r="E232" s="620" t="s">
        <v>707</v>
      </c>
      <c r="F232" s="620" t="s">
        <v>707</v>
      </c>
      <c r="G232" s="620" t="s">
        <v>707</v>
      </c>
      <c r="H232" s="620" t="s">
        <v>594</v>
      </c>
      <c r="I232" s="113">
        <v>0</v>
      </c>
      <c r="J232" s="620">
        <f t="shared" ref="J232:AI232" si="9">J216</f>
        <v>1</v>
      </c>
      <c r="K232" s="620">
        <f t="shared" si="9"/>
        <v>1</v>
      </c>
      <c r="L232" s="620">
        <f t="shared" si="9"/>
        <v>1</v>
      </c>
      <c r="M232" s="620">
        <f t="shared" si="9"/>
        <v>1</v>
      </c>
      <c r="N232" s="620">
        <f t="shared" si="9"/>
        <v>1</v>
      </c>
      <c r="O232" s="620">
        <f t="shared" si="9"/>
        <v>1</v>
      </c>
      <c r="P232" s="620">
        <f t="shared" si="9"/>
        <v>1</v>
      </c>
      <c r="Q232" s="620">
        <f t="shared" si="9"/>
        <v>1</v>
      </c>
      <c r="R232" s="620">
        <f t="shared" si="9"/>
        <v>1</v>
      </c>
      <c r="S232" s="620">
        <f t="shared" si="9"/>
        <v>1</v>
      </c>
      <c r="T232" s="620">
        <f t="shared" si="9"/>
        <v>1</v>
      </c>
      <c r="U232" s="620">
        <f t="shared" si="9"/>
        <v>1</v>
      </c>
      <c r="V232" s="620">
        <f t="shared" si="9"/>
        <v>1</v>
      </c>
      <c r="W232" s="620">
        <f t="shared" si="9"/>
        <v>1</v>
      </c>
      <c r="X232" s="620">
        <f t="shared" si="9"/>
        <v>1</v>
      </c>
      <c r="Y232" s="620">
        <f t="shared" si="9"/>
        <v>1</v>
      </c>
      <c r="Z232" s="620">
        <f t="shared" si="9"/>
        <v>1</v>
      </c>
      <c r="AA232" s="620">
        <f t="shared" si="9"/>
        <v>1</v>
      </c>
      <c r="AB232" s="620">
        <f t="shared" si="9"/>
        <v>1</v>
      </c>
      <c r="AC232" s="620">
        <f t="shared" si="9"/>
        <v>1</v>
      </c>
      <c r="AD232" s="620">
        <f t="shared" si="9"/>
        <v>1</v>
      </c>
      <c r="AE232" s="620">
        <f t="shared" si="9"/>
        <v>1</v>
      </c>
      <c r="AF232" s="620">
        <f t="shared" si="9"/>
        <v>1</v>
      </c>
      <c r="AG232" s="620">
        <f t="shared" si="9"/>
        <v>1</v>
      </c>
      <c r="AH232" s="620">
        <f t="shared" si="9"/>
        <v>1</v>
      </c>
      <c r="AI232" s="620">
        <f t="shared" si="9"/>
        <v>0</v>
      </c>
      <c r="AJ232" s="113">
        <f t="shared" ref="AJ232:AO239" si="10">AI232</f>
        <v>0</v>
      </c>
      <c r="AK232" s="113">
        <f t="shared" si="10"/>
        <v>0</v>
      </c>
      <c r="AL232" s="113">
        <f t="shared" si="10"/>
        <v>0</v>
      </c>
      <c r="AM232" s="113">
        <f t="shared" si="10"/>
        <v>0</v>
      </c>
      <c r="AN232" s="113">
        <f t="shared" si="10"/>
        <v>0</v>
      </c>
      <c r="AO232" s="113">
        <f t="shared" si="10"/>
        <v>0</v>
      </c>
    </row>
    <row r="233" spans="1:41" x14ac:dyDescent="0.25">
      <c r="A233" s="113" t="s">
        <v>1052</v>
      </c>
      <c r="B233" s="113" t="s">
        <v>1450</v>
      </c>
      <c r="C233" s="113" t="s">
        <v>1409</v>
      </c>
      <c r="D233" s="113" t="s">
        <v>707</v>
      </c>
      <c r="E233" s="113" t="s">
        <v>707</v>
      </c>
      <c r="F233" s="113" t="s">
        <v>707</v>
      </c>
      <c r="G233" s="113" t="s">
        <v>707</v>
      </c>
      <c r="H233" s="113" t="str">
        <f>PAMS!E$65</f>
        <v>UP</v>
      </c>
      <c r="I233" s="113">
        <v>0</v>
      </c>
      <c r="J233" s="113">
        <v>0</v>
      </c>
      <c r="K233" s="113">
        <f t="shared" ref="K233:AI233" si="11">J233</f>
        <v>0</v>
      </c>
      <c r="L233" s="113">
        <f t="shared" si="11"/>
        <v>0</v>
      </c>
      <c r="M233" s="113">
        <f t="shared" si="11"/>
        <v>0</v>
      </c>
      <c r="N233" s="113">
        <f t="shared" si="11"/>
        <v>0</v>
      </c>
      <c r="O233" s="113">
        <f t="shared" si="11"/>
        <v>0</v>
      </c>
      <c r="P233" s="113">
        <f t="shared" si="11"/>
        <v>0</v>
      </c>
      <c r="Q233" s="113">
        <f t="shared" si="11"/>
        <v>0</v>
      </c>
      <c r="R233" s="113">
        <f t="shared" si="11"/>
        <v>0</v>
      </c>
      <c r="S233" s="113">
        <f t="shared" si="11"/>
        <v>0</v>
      </c>
      <c r="T233" s="113">
        <f t="shared" si="11"/>
        <v>0</v>
      </c>
      <c r="U233" s="113">
        <f t="shared" si="11"/>
        <v>0</v>
      </c>
      <c r="V233" s="113">
        <f t="shared" si="11"/>
        <v>0</v>
      </c>
      <c r="W233" s="113">
        <f t="shared" si="11"/>
        <v>0</v>
      </c>
      <c r="X233" s="113">
        <f t="shared" si="11"/>
        <v>0</v>
      </c>
      <c r="Y233" s="113">
        <f t="shared" si="11"/>
        <v>0</v>
      </c>
      <c r="Z233" s="113">
        <f t="shared" si="11"/>
        <v>0</v>
      </c>
      <c r="AA233" s="113">
        <f t="shared" si="11"/>
        <v>0</v>
      </c>
      <c r="AB233" s="113">
        <f t="shared" si="11"/>
        <v>0</v>
      </c>
      <c r="AC233" s="113">
        <f t="shared" si="11"/>
        <v>0</v>
      </c>
      <c r="AD233" s="113">
        <f t="shared" si="11"/>
        <v>0</v>
      </c>
      <c r="AE233" s="113">
        <f t="shared" si="11"/>
        <v>0</v>
      </c>
      <c r="AF233" s="113">
        <f t="shared" si="11"/>
        <v>0</v>
      </c>
      <c r="AG233" s="113">
        <f t="shared" si="11"/>
        <v>0</v>
      </c>
      <c r="AH233" s="113">
        <f t="shared" si="11"/>
        <v>0</v>
      </c>
      <c r="AI233" s="113">
        <f t="shared" si="11"/>
        <v>0</v>
      </c>
      <c r="AJ233" s="113">
        <f t="shared" si="10"/>
        <v>0</v>
      </c>
      <c r="AK233" s="113">
        <f t="shared" si="10"/>
        <v>0</v>
      </c>
      <c r="AL233" s="113">
        <f t="shared" si="10"/>
        <v>0</v>
      </c>
      <c r="AM233" s="113">
        <f t="shared" si="10"/>
        <v>0</v>
      </c>
      <c r="AN233" s="113">
        <f t="shared" si="10"/>
        <v>0</v>
      </c>
      <c r="AO233" s="113">
        <f t="shared" si="10"/>
        <v>0</v>
      </c>
    </row>
    <row r="234" spans="1:41" x14ac:dyDescent="0.25">
      <c r="A234" s="113" t="s">
        <v>1052</v>
      </c>
      <c r="B234" s="113" t="s">
        <v>1450</v>
      </c>
      <c r="C234" s="113" t="s">
        <v>1407</v>
      </c>
      <c r="D234" s="113" t="s">
        <v>707</v>
      </c>
      <c r="E234" s="113" t="s">
        <v>707</v>
      </c>
      <c r="F234" s="113" t="s">
        <v>707</v>
      </c>
      <c r="G234" s="113" t="s">
        <v>707</v>
      </c>
      <c r="H234" s="113" t="str">
        <f>PAMS!E$65</f>
        <v>UP</v>
      </c>
      <c r="I234" s="113">
        <v>0</v>
      </c>
      <c r="J234" s="113">
        <v>0</v>
      </c>
      <c r="K234" s="113">
        <f t="shared" ref="K234:AI234" si="12">J234</f>
        <v>0</v>
      </c>
      <c r="L234" s="113">
        <f t="shared" si="12"/>
        <v>0</v>
      </c>
      <c r="M234" s="113">
        <f t="shared" si="12"/>
        <v>0</v>
      </c>
      <c r="N234" s="113">
        <f t="shared" si="12"/>
        <v>0</v>
      </c>
      <c r="O234" s="113">
        <f t="shared" si="12"/>
        <v>0</v>
      </c>
      <c r="P234" s="113">
        <f t="shared" si="12"/>
        <v>0</v>
      </c>
      <c r="Q234" s="113">
        <f t="shared" si="12"/>
        <v>0</v>
      </c>
      <c r="R234" s="113">
        <f t="shared" si="12"/>
        <v>0</v>
      </c>
      <c r="S234" s="113">
        <f t="shared" si="12"/>
        <v>0</v>
      </c>
      <c r="T234" s="113">
        <f t="shared" si="12"/>
        <v>0</v>
      </c>
      <c r="U234" s="113">
        <f t="shared" si="12"/>
        <v>0</v>
      </c>
      <c r="V234" s="113">
        <f t="shared" si="12"/>
        <v>0</v>
      </c>
      <c r="W234" s="113">
        <f t="shared" si="12"/>
        <v>0</v>
      </c>
      <c r="X234" s="113">
        <f t="shared" si="12"/>
        <v>0</v>
      </c>
      <c r="Y234" s="113">
        <f t="shared" si="12"/>
        <v>0</v>
      </c>
      <c r="Z234" s="113">
        <f t="shared" si="12"/>
        <v>0</v>
      </c>
      <c r="AA234" s="113">
        <f t="shared" si="12"/>
        <v>0</v>
      </c>
      <c r="AB234" s="113">
        <f t="shared" si="12"/>
        <v>0</v>
      </c>
      <c r="AC234" s="113">
        <f t="shared" si="12"/>
        <v>0</v>
      </c>
      <c r="AD234" s="113">
        <f t="shared" si="12"/>
        <v>0</v>
      </c>
      <c r="AE234" s="113">
        <f t="shared" si="12"/>
        <v>0</v>
      </c>
      <c r="AF234" s="113">
        <f t="shared" si="12"/>
        <v>0</v>
      </c>
      <c r="AG234" s="113">
        <f t="shared" si="12"/>
        <v>0</v>
      </c>
      <c r="AH234" s="113">
        <f t="shared" si="12"/>
        <v>0</v>
      </c>
      <c r="AI234" s="113">
        <f t="shared" si="12"/>
        <v>0</v>
      </c>
      <c r="AJ234" s="113">
        <f t="shared" si="10"/>
        <v>0</v>
      </c>
      <c r="AK234" s="113">
        <f t="shared" si="10"/>
        <v>0</v>
      </c>
      <c r="AL234" s="113">
        <f t="shared" si="10"/>
        <v>0</v>
      </c>
      <c r="AM234" s="113">
        <f t="shared" si="10"/>
        <v>0</v>
      </c>
      <c r="AN234" s="113">
        <f t="shared" si="10"/>
        <v>0</v>
      </c>
      <c r="AO234" s="113">
        <f t="shared" si="10"/>
        <v>0</v>
      </c>
    </row>
    <row r="235" spans="1:41" x14ac:dyDescent="0.25">
      <c r="B235" s="620" t="s">
        <v>1450</v>
      </c>
      <c r="C235" s="620" t="s">
        <v>1405</v>
      </c>
      <c r="D235" s="620" t="s">
        <v>707</v>
      </c>
      <c r="E235" s="620" t="s">
        <v>707</v>
      </c>
      <c r="F235" s="620" t="s">
        <v>707</v>
      </c>
      <c r="G235" s="620" t="s">
        <v>707</v>
      </c>
      <c r="H235" s="620" t="s">
        <v>594</v>
      </c>
      <c r="I235" s="113">
        <v>0</v>
      </c>
      <c r="J235" s="620">
        <f t="shared" ref="J235:AI235" si="13">J217</f>
        <v>1.7200000000000002</v>
      </c>
      <c r="K235" s="620">
        <f t="shared" si="13"/>
        <v>1.7200000000000002</v>
      </c>
      <c r="L235" s="620">
        <f t="shared" si="13"/>
        <v>1.7200000000000002</v>
      </c>
      <c r="M235" s="620">
        <f t="shared" si="13"/>
        <v>1.7200000000000002</v>
      </c>
      <c r="N235" s="620">
        <f t="shared" si="13"/>
        <v>1.3200000000000003</v>
      </c>
      <c r="O235" s="620">
        <f t="shared" si="13"/>
        <v>1.3200000000000003</v>
      </c>
      <c r="P235" s="620">
        <f t="shared" si="13"/>
        <v>1.3200000000000003</v>
      </c>
      <c r="Q235" s="620">
        <f t="shared" si="13"/>
        <v>1.3200000000000003</v>
      </c>
      <c r="R235" s="620">
        <f t="shared" si="13"/>
        <v>1.3200000000000003</v>
      </c>
      <c r="S235" s="620">
        <f t="shared" si="13"/>
        <v>1.3200000000000003</v>
      </c>
      <c r="T235" s="620">
        <f t="shared" si="13"/>
        <v>1.3200000000000003</v>
      </c>
      <c r="U235" s="620">
        <f t="shared" si="13"/>
        <v>1.3200000000000003</v>
      </c>
      <c r="V235" s="620">
        <f t="shared" si="13"/>
        <v>1.3200000000000003</v>
      </c>
      <c r="W235" s="620">
        <f t="shared" si="13"/>
        <v>1.3200000000000003</v>
      </c>
      <c r="X235" s="620">
        <f t="shared" si="13"/>
        <v>1.3200000000000003</v>
      </c>
      <c r="Y235" s="620">
        <f t="shared" si="13"/>
        <v>1.3200000000000003</v>
      </c>
      <c r="Z235" s="620">
        <f t="shared" si="13"/>
        <v>1.3200000000000003</v>
      </c>
      <c r="AA235" s="620">
        <f t="shared" si="13"/>
        <v>1.3200000000000003</v>
      </c>
      <c r="AB235" s="620">
        <f t="shared" si="13"/>
        <v>1.3200000000000003</v>
      </c>
      <c r="AC235" s="620">
        <f t="shared" si="13"/>
        <v>1.3200000000000003</v>
      </c>
      <c r="AD235" s="620">
        <f t="shared" si="13"/>
        <v>1.3200000000000003</v>
      </c>
      <c r="AE235" s="620">
        <f t="shared" si="13"/>
        <v>1.3200000000000003</v>
      </c>
      <c r="AF235" s="620">
        <f t="shared" si="13"/>
        <v>1.3200000000000003</v>
      </c>
      <c r="AG235" s="620">
        <f t="shared" si="13"/>
        <v>1.3200000000000003</v>
      </c>
      <c r="AH235" s="620">
        <f t="shared" si="13"/>
        <v>1.3200000000000003</v>
      </c>
      <c r="AI235" s="620">
        <f t="shared" si="13"/>
        <v>0</v>
      </c>
      <c r="AJ235" s="113">
        <f t="shared" si="10"/>
        <v>0</v>
      </c>
      <c r="AK235" s="113">
        <f t="shared" si="10"/>
        <v>0</v>
      </c>
      <c r="AL235" s="113">
        <f t="shared" si="10"/>
        <v>0</v>
      </c>
      <c r="AM235" s="113">
        <f t="shared" si="10"/>
        <v>0</v>
      </c>
      <c r="AN235" s="113">
        <f t="shared" si="10"/>
        <v>0</v>
      </c>
      <c r="AO235" s="113">
        <f t="shared" si="10"/>
        <v>0</v>
      </c>
    </row>
    <row r="236" spans="1:41" x14ac:dyDescent="0.25">
      <c r="B236" s="113" t="s">
        <v>1450</v>
      </c>
      <c r="C236" s="113" t="s">
        <v>1403</v>
      </c>
      <c r="D236" s="113" t="s">
        <v>707</v>
      </c>
      <c r="E236" s="113" t="s">
        <v>707</v>
      </c>
      <c r="F236" s="113" t="s">
        <v>707</v>
      </c>
      <c r="G236" s="113" t="s">
        <v>707</v>
      </c>
      <c r="H236" s="113" t="s">
        <v>594</v>
      </c>
      <c r="I236" s="113">
        <v>0</v>
      </c>
      <c r="J236" s="113">
        <v>0</v>
      </c>
      <c r="K236" s="113">
        <f t="shared" ref="K236:AI236" si="14">J236</f>
        <v>0</v>
      </c>
      <c r="L236" s="113">
        <f t="shared" si="14"/>
        <v>0</v>
      </c>
      <c r="M236" s="113">
        <f t="shared" si="14"/>
        <v>0</v>
      </c>
      <c r="N236" s="113">
        <f t="shared" si="14"/>
        <v>0</v>
      </c>
      <c r="O236" s="113">
        <f t="shared" si="14"/>
        <v>0</v>
      </c>
      <c r="P236" s="113">
        <f t="shared" si="14"/>
        <v>0</v>
      </c>
      <c r="Q236" s="113">
        <f t="shared" si="14"/>
        <v>0</v>
      </c>
      <c r="R236" s="113">
        <f t="shared" si="14"/>
        <v>0</v>
      </c>
      <c r="S236" s="113">
        <f t="shared" si="14"/>
        <v>0</v>
      </c>
      <c r="T236" s="113">
        <f t="shared" si="14"/>
        <v>0</v>
      </c>
      <c r="U236" s="113">
        <f t="shared" si="14"/>
        <v>0</v>
      </c>
      <c r="V236" s="113">
        <f t="shared" si="14"/>
        <v>0</v>
      </c>
      <c r="W236" s="113">
        <f t="shared" si="14"/>
        <v>0</v>
      </c>
      <c r="X236" s="113">
        <f t="shared" si="14"/>
        <v>0</v>
      </c>
      <c r="Y236" s="113">
        <f t="shared" si="14"/>
        <v>0</v>
      </c>
      <c r="Z236" s="113">
        <f t="shared" si="14"/>
        <v>0</v>
      </c>
      <c r="AA236" s="113">
        <f t="shared" si="14"/>
        <v>0</v>
      </c>
      <c r="AB236" s="113">
        <f t="shared" si="14"/>
        <v>0</v>
      </c>
      <c r="AC236" s="113">
        <f t="shared" si="14"/>
        <v>0</v>
      </c>
      <c r="AD236" s="113">
        <f t="shared" si="14"/>
        <v>0</v>
      </c>
      <c r="AE236" s="113">
        <f t="shared" si="14"/>
        <v>0</v>
      </c>
      <c r="AF236" s="113">
        <f t="shared" si="14"/>
        <v>0</v>
      </c>
      <c r="AG236" s="113">
        <f t="shared" si="14"/>
        <v>0</v>
      </c>
      <c r="AH236" s="113">
        <f t="shared" si="14"/>
        <v>0</v>
      </c>
      <c r="AI236" s="113">
        <f t="shared" si="14"/>
        <v>0</v>
      </c>
      <c r="AJ236" s="113">
        <f t="shared" si="10"/>
        <v>0</v>
      </c>
      <c r="AK236" s="113">
        <f t="shared" si="10"/>
        <v>0</v>
      </c>
      <c r="AL236" s="113">
        <f t="shared" si="10"/>
        <v>0</v>
      </c>
      <c r="AM236" s="113">
        <f t="shared" si="10"/>
        <v>0</v>
      </c>
      <c r="AN236" s="113">
        <f t="shared" si="10"/>
        <v>0</v>
      </c>
      <c r="AO236" s="113">
        <f t="shared" si="10"/>
        <v>0</v>
      </c>
    </row>
    <row r="237" spans="1:41" x14ac:dyDescent="0.25">
      <c r="B237" s="113" t="s">
        <v>1450</v>
      </c>
      <c r="C237" s="113" t="s">
        <v>1401</v>
      </c>
      <c r="D237" s="113" t="s">
        <v>707</v>
      </c>
      <c r="E237" s="113" t="s">
        <v>707</v>
      </c>
      <c r="F237" s="113" t="s">
        <v>707</v>
      </c>
      <c r="G237" s="113" t="s">
        <v>707</v>
      </c>
      <c r="H237" s="113" t="s">
        <v>593</v>
      </c>
      <c r="I237" s="113">
        <v>0</v>
      </c>
      <c r="J237" s="113">
        <v>0</v>
      </c>
      <c r="K237" s="113">
        <f t="shared" ref="K237:AI237" si="15">J237</f>
        <v>0</v>
      </c>
      <c r="L237" s="113">
        <f t="shared" si="15"/>
        <v>0</v>
      </c>
      <c r="M237" s="113">
        <f t="shared" si="15"/>
        <v>0</v>
      </c>
      <c r="N237" s="113">
        <f t="shared" si="15"/>
        <v>0</v>
      </c>
      <c r="O237" s="113">
        <f t="shared" si="15"/>
        <v>0</v>
      </c>
      <c r="P237" s="113">
        <f t="shared" si="15"/>
        <v>0</v>
      </c>
      <c r="Q237" s="113">
        <f t="shared" si="15"/>
        <v>0</v>
      </c>
      <c r="R237" s="113">
        <f t="shared" si="15"/>
        <v>0</v>
      </c>
      <c r="S237" s="113">
        <f t="shared" si="15"/>
        <v>0</v>
      </c>
      <c r="T237" s="113">
        <f t="shared" si="15"/>
        <v>0</v>
      </c>
      <c r="U237" s="113">
        <f t="shared" si="15"/>
        <v>0</v>
      </c>
      <c r="V237" s="113">
        <f t="shared" si="15"/>
        <v>0</v>
      </c>
      <c r="W237" s="113">
        <f t="shared" si="15"/>
        <v>0</v>
      </c>
      <c r="X237" s="113">
        <f t="shared" si="15"/>
        <v>0</v>
      </c>
      <c r="Y237" s="113">
        <f t="shared" si="15"/>
        <v>0</v>
      </c>
      <c r="Z237" s="113">
        <f t="shared" si="15"/>
        <v>0</v>
      </c>
      <c r="AA237" s="113">
        <f t="shared" si="15"/>
        <v>0</v>
      </c>
      <c r="AB237" s="113">
        <f t="shared" si="15"/>
        <v>0</v>
      </c>
      <c r="AC237" s="113">
        <f t="shared" si="15"/>
        <v>0</v>
      </c>
      <c r="AD237" s="113">
        <f t="shared" si="15"/>
        <v>0</v>
      </c>
      <c r="AE237" s="113">
        <f t="shared" si="15"/>
        <v>0</v>
      </c>
      <c r="AF237" s="113">
        <f t="shared" si="15"/>
        <v>0</v>
      </c>
      <c r="AG237" s="113">
        <f t="shared" si="15"/>
        <v>0</v>
      </c>
      <c r="AH237" s="113">
        <f t="shared" si="15"/>
        <v>0</v>
      </c>
      <c r="AI237" s="113">
        <f t="shared" si="15"/>
        <v>0</v>
      </c>
      <c r="AJ237" s="113">
        <f t="shared" si="10"/>
        <v>0</v>
      </c>
      <c r="AK237" s="113">
        <f t="shared" si="10"/>
        <v>0</v>
      </c>
      <c r="AL237" s="113">
        <f t="shared" si="10"/>
        <v>0</v>
      </c>
      <c r="AM237" s="113">
        <f t="shared" si="10"/>
        <v>0</v>
      </c>
      <c r="AN237" s="113">
        <f t="shared" si="10"/>
        <v>0</v>
      </c>
      <c r="AO237" s="113">
        <f t="shared" si="10"/>
        <v>0</v>
      </c>
    </row>
    <row r="238" spans="1:41" x14ac:dyDescent="0.25">
      <c r="A238" s="113" t="s">
        <v>1052</v>
      </c>
      <c r="B238" s="113" t="s">
        <v>1450</v>
      </c>
      <c r="C238" s="113" t="s">
        <v>1399</v>
      </c>
      <c r="D238" s="113" t="s">
        <v>707</v>
      </c>
      <c r="E238" s="113" t="s">
        <v>707</v>
      </c>
      <c r="F238" s="113" t="s">
        <v>707</v>
      </c>
      <c r="G238" s="113" t="s">
        <v>707</v>
      </c>
      <c r="H238" s="113" t="str">
        <f>PAMS!E$65</f>
        <v>UP</v>
      </c>
      <c r="I238" s="113">
        <f>PAMS!F$65</f>
        <v>0</v>
      </c>
      <c r="J238" s="113">
        <v>0</v>
      </c>
      <c r="K238" s="113">
        <f t="shared" ref="K238:AI238" si="16">J238</f>
        <v>0</v>
      </c>
      <c r="L238" s="113">
        <f t="shared" si="16"/>
        <v>0</v>
      </c>
      <c r="M238" s="113">
        <f t="shared" si="16"/>
        <v>0</v>
      </c>
      <c r="N238" s="113">
        <f t="shared" si="16"/>
        <v>0</v>
      </c>
      <c r="O238" s="113">
        <f t="shared" si="16"/>
        <v>0</v>
      </c>
      <c r="P238" s="113">
        <f t="shared" si="16"/>
        <v>0</v>
      </c>
      <c r="Q238" s="113">
        <f t="shared" si="16"/>
        <v>0</v>
      </c>
      <c r="R238" s="113">
        <f t="shared" si="16"/>
        <v>0</v>
      </c>
      <c r="S238" s="113">
        <f t="shared" si="16"/>
        <v>0</v>
      </c>
      <c r="T238" s="113">
        <f t="shared" si="16"/>
        <v>0</v>
      </c>
      <c r="U238" s="113">
        <f t="shared" si="16"/>
        <v>0</v>
      </c>
      <c r="V238" s="113">
        <f t="shared" si="16"/>
        <v>0</v>
      </c>
      <c r="W238" s="113">
        <f t="shared" si="16"/>
        <v>0</v>
      </c>
      <c r="X238" s="113">
        <f t="shared" si="16"/>
        <v>0</v>
      </c>
      <c r="Y238" s="113">
        <f t="shared" si="16"/>
        <v>0</v>
      </c>
      <c r="Z238" s="113">
        <f t="shared" si="16"/>
        <v>0</v>
      </c>
      <c r="AA238" s="113">
        <f t="shared" si="16"/>
        <v>0</v>
      </c>
      <c r="AB238" s="113">
        <f t="shared" si="16"/>
        <v>0</v>
      </c>
      <c r="AC238" s="113">
        <f t="shared" si="16"/>
        <v>0</v>
      </c>
      <c r="AD238" s="113">
        <f t="shared" si="16"/>
        <v>0</v>
      </c>
      <c r="AE238" s="113">
        <f t="shared" si="16"/>
        <v>0</v>
      </c>
      <c r="AF238" s="113">
        <f t="shared" si="16"/>
        <v>0</v>
      </c>
      <c r="AG238" s="113">
        <f t="shared" si="16"/>
        <v>0</v>
      </c>
      <c r="AH238" s="113">
        <f t="shared" si="16"/>
        <v>0</v>
      </c>
      <c r="AI238" s="113">
        <f t="shared" si="16"/>
        <v>0</v>
      </c>
      <c r="AJ238" s="113">
        <f t="shared" si="10"/>
        <v>0</v>
      </c>
      <c r="AK238" s="113">
        <f t="shared" si="10"/>
        <v>0</v>
      </c>
      <c r="AL238" s="113">
        <f t="shared" si="10"/>
        <v>0</v>
      </c>
      <c r="AM238" s="113">
        <f t="shared" si="10"/>
        <v>0</v>
      </c>
      <c r="AN238" s="113">
        <f t="shared" si="10"/>
        <v>0</v>
      </c>
      <c r="AO238" s="113">
        <f t="shared" si="10"/>
        <v>0</v>
      </c>
    </row>
    <row r="239" spans="1:41" x14ac:dyDescent="0.25">
      <c r="A239" s="113" t="s">
        <v>1052</v>
      </c>
      <c r="B239" s="113" t="s">
        <v>1450</v>
      </c>
      <c r="C239" s="113" t="s">
        <v>1396</v>
      </c>
      <c r="D239" s="113" t="s">
        <v>707</v>
      </c>
      <c r="E239" s="113" t="s">
        <v>707</v>
      </c>
      <c r="F239" s="113" t="s">
        <v>707</v>
      </c>
      <c r="G239" s="113" t="s">
        <v>707</v>
      </c>
      <c r="H239" s="113" t="str">
        <f>PAMS!E$65</f>
        <v>UP</v>
      </c>
      <c r="I239" s="113">
        <f>PAMS!F$65</f>
        <v>0</v>
      </c>
      <c r="J239" s="113">
        <v>0</v>
      </c>
      <c r="K239" s="113">
        <f t="shared" ref="K239:AI239" si="17">J239</f>
        <v>0</v>
      </c>
      <c r="L239" s="113">
        <f t="shared" si="17"/>
        <v>0</v>
      </c>
      <c r="M239" s="113">
        <f t="shared" si="17"/>
        <v>0</v>
      </c>
      <c r="N239" s="113">
        <f t="shared" si="17"/>
        <v>0</v>
      </c>
      <c r="O239" s="113">
        <f t="shared" si="17"/>
        <v>0</v>
      </c>
      <c r="P239" s="113">
        <f t="shared" si="17"/>
        <v>0</v>
      </c>
      <c r="Q239" s="113">
        <f t="shared" si="17"/>
        <v>0</v>
      </c>
      <c r="R239" s="113">
        <f t="shared" si="17"/>
        <v>0</v>
      </c>
      <c r="S239" s="113">
        <f t="shared" si="17"/>
        <v>0</v>
      </c>
      <c r="T239" s="113">
        <f t="shared" si="17"/>
        <v>0</v>
      </c>
      <c r="U239" s="113">
        <f t="shared" si="17"/>
        <v>0</v>
      </c>
      <c r="V239" s="113">
        <f t="shared" si="17"/>
        <v>0</v>
      </c>
      <c r="W239" s="113">
        <f t="shared" si="17"/>
        <v>0</v>
      </c>
      <c r="X239" s="113">
        <f t="shared" si="17"/>
        <v>0</v>
      </c>
      <c r="Y239" s="113">
        <f t="shared" si="17"/>
        <v>0</v>
      </c>
      <c r="Z239" s="113">
        <f t="shared" si="17"/>
        <v>0</v>
      </c>
      <c r="AA239" s="113">
        <f t="shared" si="17"/>
        <v>0</v>
      </c>
      <c r="AB239" s="113">
        <f t="shared" si="17"/>
        <v>0</v>
      </c>
      <c r="AC239" s="113">
        <f t="shared" si="17"/>
        <v>0</v>
      </c>
      <c r="AD239" s="113">
        <f t="shared" si="17"/>
        <v>0</v>
      </c>
      <c r="AE239" s="113">
        <f t="shared" si="17"/>
        <v>0</v>
      </c>
      <c r="AF239" s="113">
        <f t="shared" si="17"/>
        <v>0</v>
      </c>
      <c r="AG239" s="113">
        <f t="shared" si="17"/>
        <v>0</v>
      </c>
      <c r="AH239" s="113">
        <f t="shared" si="17"/>
        <v>0</v>
      </c>
      <c r="AI239" s="113">
        <f t="shared" si="17"/>
        <v>0</v>
      </c>
      <c r="AJ239" s="113">
        <f t="shared" si="10"/>
        <v>0</v>
      </c>
      <c r="AK239" s="113">
        <f t="shared" si="10"/>
        <v>0</v>
      </c>
      <c r="AL239" s="113">
        <f t="shared" si="10"/>
        <v>0</v>
      </c>
      <c r="AM239" s="113">
        <f t="shared" si="10"/>
        <v>0</v>
      </c>
      <c r="AN239" s="113">
        <f t="shared" si="10"/>
        <v>0</v>
      </c>
      <c r="AO239" s="113">
        <f t="shared" si="10"/>
        <v>0</v>
      </c>
    </row>
    <row r="240" spans="1:41" x14ac:dyDescent="0.25">
      <c r="A240" s="113" t="s">
        <v>1052</v>
      </c>
      <c r="B240" s="113" t="s">
        <v>1438</v>
      </c>
      <c r="C240" s="113" t="s">
        <v>1427</v>
      </c>
      <c r="D240" s="113" t="s">
        <v>1431</v>
      </c>
      <c r="E240" s="113" t="s">
        <v>1436</v>
      </c>
      <c r="F240" s="113" t="s">
        <v>707</v>
      </c>
      <c r="G240" s="113" t="s">
        <v>1101</v>
      </c>
      <c r="H240" s="113" t="s">
        <v>707</v>
      </c>
      <c r="I240" s="620">
        <f>PAMS!F$65</f>
        <v>0</v>
      </c>
      <c r="J240" s="620">
        <f>INDEX(PAMS!$I$53:$Q$60,MATCH($C240,PAMS!$B$53:$B$60,0),MATCH(J$2,PAMS!$I$52:$Q$52,0))</f>
        <v>0</v>
      </c>
      <c r="K240" s="620">
        <f>J240+($M240-$J240)/3</f>
        <v>0</v>
      </c>
      <c r="L240" s="620">
        <f>K240+($M240-$J240)/3</f>
        <v>0</v>
      </c>
      <c r="M240" s="620">
        <f>INDEX(PAMS!$I$53:$Q$60,MATCH($C240,PAMS!$B$53:$B$60,0),MATCH(M$2,PAMS!$I$52:$Q$52,0))</f>
        <v>0</v>
      </c>
      <c r="N240" s="620">
        <f>M240+($R240-$M240)/3</f>
        <v>0</v>
      </c>
      <c r="O240" s="620">
        <f>N240+($R240-$M240)/3</f>
        <v>0</v>
      </c>
      <c r="P240" s="620">
        <f>O240+($R240-$M240)/3</f>
        <v>0</v>
      </c>
      <c r="Q240" s="620">
        <f>P240+($R240-$M240)/3</f>
        <v>0</v>
      </c>
      <c r="R240" s="620">
        <f>INDEX(PAMS!$I$53:$Q$60,MATCH($C240,PAMS!$B$53:$B$60,0),MATCH(R$2,PAMS!$I$52:$Q$52,0))</f>
        <v>0</v>
      </c>
      <c r="S240" s="620">
        <f>R240+($W240-$R240)/4</f>
        <v>0</v>
      </c>
      <c r="T240" s="620">
        <f>S240+($W240-$R240)/4</f>
        <v>0</v>
      </c>
      <c r="U240" s="620">
        <f>T240+($W240-$R240)/4</f>
        <v>0</v>
      </c>
      <c r="V240" s="620">
        <f>U240+($W240-$R240)/4</f>
        <v>0</v>
      </c>
      <c r="W240" s="620">
        <f>INDEX(PAMS!$I$53:$Q$60,MATCH($C240,PAMS!$B$53:$B$60,0),MATCH(W$2,PAMS!$I$52:$Q$52,0))</f>
        <v>0</v>
      </c>
      <c r="X240" s="620">
        <f>W240+($AB240-$W240)/4</f>
        <v>0</v>
      </c>
      <c r="Y240" s="620">
        <f>X240+($AB240-$W240)/4</f>
        <v>0</v>
      </c>
      <c r="Z240" s="620">
        <f>Y240+($AB240-$W240)/4</f>
        <v>0</v>
      </c>
      <c r="AA240" s="620">
        <f>Z240+($AB240-$W240)/4</f>
        <v>0</v>
      </c>
      <c r="AB240" s="620">
        <f>INDEX(PAMS!$I$53:$Q$60,MATCH($C240,PAMS!$B$53:$B$60,0),MATCH(AB$2,PAMS!$I$52:$Q$52,0))</f>
        <v>0</v>
      </c>
      <c r="AC240" s="620">
        <f>AB240+($AG240-$AB240)/4</f>
        <v>0</v>
      </c>
      <c r="AD240" s="620">
        <f>AC240+($AG240-$AB240)/4</f>
        <v>0</v>
      </c>
      <c r="AE240" s="620">
        <f>AD240+($AG240-$AB240)/4</f>
        <v>0</v>
      </c>
      <c r="AF240" s="620">
        <f>AE240+($AG240-$AB240)/4</f>
        <v>0</v>
      </c>
      <c r="AG240" s="620">
        <f>INDEX(PAMS!$I$53:$Q$60,MATCH($C240,PAMS!$B$53:$B$60,0),MATCH(AG$2,PAMS!$I$52:$Q$52,0))</f>
        <v>0</v>
      </c>
      <c r="AH240" s="620">
        <f>AG240+($AM240-$AG240)/4</f>
        <v>0</v>
      </c>
      <c r="AI240" s="620">
        <f>AH240+($AM240-$AG240)/4</f>
        <v>0</v>
      </c>
      <c r="AJ240" s="620">
        <f>AI240+($AM240-$AG240)/4</f>
        <v>0</v>
      </c>
      <c r="AK240" s="620">
        <f>AJ240+($AM240-$AG240)/4</f>
        <v>0</v>
      </c>
      <c r="AL240" s="620">
        <f>INDEX(PAMS!$I$53:$Q$60,MATCH($C240,PAMS!$B$53:$B$60,0),MATCH(AL$2,PAMS!$I$52:$Q$52,0))</f>
        <v>0</v>
      </c>
      <c r="AM240" s="620">
        <f>INDEX(PAMS!$I$53:$Q$60,MATCH($C240,PAMS!$B$53:$B$60,0),MATCH(AM$2,PAMS!$I$52:$Q$52,0))</f>
        <v>0</v>
      </c>
      <c r="AN240" s="620">
        <f>INDEX(PAMS!$I$53:$Q$60,MATCH($C240,PAMS!$B$53:$B$60,0),MATCH(AN$2,PAMS!$I$52:$Q$52,0))</f>
        <v>0</v>
      </c>
    </row>
    <row r="241" spans="1:40" x14ac:dyDescent="0.25">
      <c r="A241" s="113" t="s">
        <v>1052</v>
      </c>
      <c r="B241" s="113" t="s">
        <v>1438</v>
      </c>
      <c r="C241" s="113" t="s">
        <v>1427</v>
      </c>
      <c r="D241" s="113" t="s">
        <v>1431</v>
      </c>
      <c r="E241" s="113" t="s">
        <v>1449</v>
      </c>
      <c r="F241" s="113" t="s">
        <v>707</v>
      </c>
      <c r="G241" s="113" t="s">
        <v>1101</v>
      </c>
      <c r="H241" s="113" t="s">
        <v>707</v>
      </c>
      <c r="I241" s="113">
        <v>0</v>
      </c>
      <c r="J241" s="113">
        <v>1</v>
      </c>
      <c r="K241" s="113">
        <f t="shared" ref="K241:AN241" si="18">J241</f>
        <v>1</v>
      </c>
      <c r="L241" s="113">
        <f t="shared" si="18"/>
        <v>1</v>
      </c>
      <c r="M241" s="113">
        <f t="shared" si="18"/>
        <v>1</v>
      </c>
      <c r="N241" s="113">
        <f t="shared" si="18"/>
        <v>1</v>
      </c>
      <c r="O241" s="113">
        <f t="shared" si="18"/>
        <v>1</v>
      </c>
      <c r="P241" s="113">
        <f t="shared" si="18"/>
        <v>1</v>
      </c>
      <c r="Q241" s="113">
        <f t="shared" si="18"/>
        <v>1</v>
      </c>
      <c r="R241" s="113">
        <f t="shared" si="18"/>
        <v>1</v>
      </c>
      <c r="S241" s="113">
        <f t="shared" si="18"/>
        <v>1</v>
      </c>
      <c r="T241" s="113">
        <f t="shared" si="18"/>
        <v>1</v>
      </c>
      <c r="U241" s="113">
        <f t="shared" si="18"/>
        <v>1</v>
      </c>
      <c r="V241" s="113">
        <f t="shared" si="18"/>
        <v>1</v>
      </c>
      <c r="W241" s="113">
        <f t="shared" si="18"/>
        <v>1</v>
      </c>
      <c r="X241" s="113">
        <f t="shared" si="18"/>
        <v>1</v>
      </c>
      <c r="Y241" s="113">
        <f t="shared" si="18"/>
        <v>1</v>
      </c>
      <c r="Z241" s="113">
        <f t="shared" si="18"/>
        <v>1</v>
      </c>
      <c r="AA241" s="113">
        <f t="shared" si="18"/>
        <v>1</v>
      </c>
      <c r="AB241" s="113">
        <f t="shared" si="18"/>
        <v>1</v>
      </c>
      <c r="AC241" s="113">
        <f t="shared" si="18"/>
        <v>1</v>
      </c>
      <c r="AD241" s="113">
        <f t="shared" si="18"/>
        <v>1</v>
      </c>
      <c r="AE241" s="113">
        <f t="shared" si="18"/>
        <v>1</v>
      </c>
      <c r="AF241" s="113">
        <f t="shared" si="18"/>
        <v>1</v>
      </c>
      <c r="AG241" s="113">
        <f t="shared" si="18"/>
        <v>1</v>
      </c>
      <c r="AH241" s="113">
        <f t="shared" si="18"/>
        <v>1</v>
      </c>
      <c r="AI241" s="113">
        <f t="shared" si="18"/>
        <v>1</v>
      </c>
      <c r="AJ241" s="113">
        <f t="shared" si="18"/>
        <v>1</v>
      </c>
      <c r="AK241" s="113">
        <f t="shared" si="18"/>
        <v>1</v>
      </c>
      <c r="AL241" s="113">
        <f t="shared" si="18"/>
        <v>1</v>
      </c>
      <c r="AM241" s="113">
        <f t="shared" si="18"/>
        <v>1</v>
      </c>
      <c r="AN241" s="113">
        <f t="shared" si="18"/>
        <v>1</v>
      </c>
    </row>
    <row r="242" spans="1:40" x14ac:dyDescent="0.25">
      <c r="A242" s="113" t="s">
        <v>1052</v>
      </c>
      <c r="B242" s="113" t="s">
        <v>1438</v>
      </c>
      <c r="C242" s="113" t="s">
        <v>1425</v>
      </c>
      <c r="D242" s="113" t="s">
        <v>1431</v>
      </c>
      <c r="E242" s="113" t="s">
        <v>1436</v>
      </c>
      <c r="F242" s="113" t="s">
        <v>707</v>
      </c>
      <c r="G242" s="113" t="s">
        <v>1101</v>
      </c>
      <c r="H242" s="113" t="s">
        <v>707</v>
      </c>
      <c r="I242" s="620">
        <f>PAMS!F$65</f>
        <v>0</v>
      </c>
      <c r="J242" s="620">
        <f>INDEX(PAMS!$I$53:$Q$60,MATCH($C242,PAMS!$B$53:$B$60,0),MATCH(J$2,PAMS!$I$52:$Q$52,0))</f>
        <v>0</v>
      </c>
      <c r="K242" s="620">
        <f>J242+($M242-$J242)/3</f>
        <v>0</v>
      </c>
      <c r="L242" s="620">
        <f>K242+($M242-$J242)/3</f>
        <v>0</v>
      </c>
      <c r="M242" s="620">
        <f>INDEX(PAMS!$I$53:$Q$60,MATCH($C242,PAMS!$B$53:$B$60,0),MATCH(M$2,PAMS!$I$52:$Q$52,0))</f>
        <v>0</v>
      </c>
      <c r="N242" s="620">
        <f>M242+($R242-$M242)/3</f>
        <v>0</v>
      </c>
      <c r="O242" s="620">
        <f>N242+($R242-$M242)/3</f>
        <v>0</v>
      </c>
      <c r="P242" s="620">
        <f>O242+($R242-$M242)/3</f>
        <v>0</v>
      </c>
      <c r="Q242" s="620">
        <f>P242+($R242-$M242)/3</f>
        <v>0</v>
      </c>
      <c r="R242" s="620">
        <f>INDEX(PAMS!$I$53:$Q$60,MATCH($C242,PAMS!$B$53:$B$60,0),MATCH(R$2,PAMS!$I$52:$Q$52,0))</f>
        <v>0</v>
      </c>
      <c r="S242" s="620">
        <f>R242+($W242-$R242)/4</f>
        <v>0</v>
      </c>
      <c r="T242" s="620">
        <f>S242+($W242-$R242)/4</f>
        <v>0</v>
      </c>
      <c r="U242" s="620">
        <f>T242+($W242-$R242)/4</f>
        <v>0</v>
      </c>
      <c r="V242" s="620">
        <f>U242+($W242-$R242)/4</f>
        <v>0</v>
      </c>
      <c r="W242" s="620">
        <f>INDEX(PAMS!$I$53:$Q$60,MATCH($C242,PAMS!$B$53:$B$60,0),MATCH(W$2,PAMS!$I$52:$Q$52,0))</f>
        <v>0</v>
      </c>
      <c r="X242" s="620">
        <f>W242+($AB242-$W242)/4</f>
        <v>0</v>
      </c>
      <c r="Y242" s="620">
        <f>X242+($AB242-$W242)/4</f>
        <v>0</v>
      </c>
      <c r="Z242" s="620">
        <f>Y242+($AB242-$W242)/4</f>
        <v>0</v>
      </c>
      <c r="AA242" s="620">
        <f>Z242+($AB242-$W242)/4</f>
        <v>0</v>
      </c>
      <c r="AB242" s="620">
        <f>INDEX(PAMS!$I$53:$Q$60,MATCH($C242,PAMS!$B$53:$B$60,0),MATCH(AB$2,PAMS!$I$52:$Q$52,0))</f>
        <v>0</v>
      </c>
      <c r="AC242" s="620">
        <f>AB242+($AG242-$AB242)/4</f>
        <v>0</v>
      </c>
      <c r="AD242" s="620">
        <f>AC242+($AG242-$AB242)/4</f>
        <v>0</v>
      </c>
      <c r="AE242" s="620">
        <f>AD242+($AG242-$AB242)/4</f>
        <v>0</v>
      </c>
      <c r="AF242" s="620">
        <f>AE242+($AG242-$AB242)/4</f>
        <v>0</v>
      </c>
      <c r="AG242" s="620">
        <f>INDEX(PAMS!$I$53:$Q$60,MATCH($C242,PAMS!$B$53:$B$60,0),MATCH(AG$2,PAMS!$I$52:$Q$52,0))</f>
        <v>0</v>
      </c>
      <c r="AH242" s="620">
        <f>AG242+($AM242-$AG242)/4</f>
        <v>0</v>
      </c>
      <c r="AI242" s="620">
        <f>AH242+($AM242-$AG242)/4</f>
        <v>0</v>
      </c>
      <c r="AJ242" s="620">
        <f>AI242+($AM242-$AG242)/4</f>
        <v>0</v>
      </c>
      <c r="AK242" s="620">
        <f>AJ242+($AM242-$AG242)/4</f>
        <v>0</v>
      </c>
      <c r="AL242" s="620">
        <f>INDEX(PAMS!$I$53:$Q$60,MATCH($C242,PAMS!$B$53:$B$60,0),MATCH(AL$2,PAMS!$I$52:$Q$52,0))</f>
        <v>0</v>
      </c>
      <c r="AM242" s="620">
        <f>INDEX(PAMS!$I$53:$Q$60,MATCH($C242,PAMS!$B$53:$B$60,0),MATCH(AM$2,PAMS!$I$52:$Q$52,0))</f>
        <v>0</v>
      </c>
      <c r="AN242" s="620">
        <f>INDEX(PAMS!$I$53:$Q$60,MATCH($C242,PAMS!$B$53:$B$60,0),MATCH(AN$2,PAMS!$I$52:$Q$52,0))</f>
        <v>0</v>
      </c>
    </row>
    <row r="243" spans="1:40" x14ac:dyDescent="0.25">
      <c r="A243" s="113" t="s">
        <v>1052</v>
      </c>
      <c r="B243" s="113" t="s">
        <v>1438</v>
      </c>
      <c r="C243" s="113" t="s">
        <v>1425</v>
      </c>
      <c r="D243" s="113" t="s">
        <v>1431</v>
      </c>
      <c r="E243" s="113" t="s">
        <v>1448</v>
      </c>
      <c r="F243" s="113" t="s">
        <v>707</v>
      </c>
      <c r="G243" s="113" t="s">
        <v>1101</v>
      </c>
      <c r="H243" s="113" t="s">
        <v>707</v>
      </c>
      <c r="I243" s="113">
        <v>0</v>
      </c>
      <c r="J243" s="113">
        <v>1</v>
      </c>
      <c r="K243" s="113">
        <f t="shared" ref="K243:AN243" si="19">J243</f>
        <v>1</v>
      </c>
      <c r="L243" s="113">
        <f t="shared" si="19"/>
        <v>1</v>
      </c>
      <c r="M243" s="113">
        <f t="shared" si="19"/>
        <v>1</v>
      </c>
      <c r="N243" s="113">
        <f t="shared" si="19"/>
        <v>1</v>
      </c>
      <c r="O243" s="113">
        <f t="shared" si="19"/>
        <v>1</v>
      </c>
      <c r="P243" s="113">
        <f t="shared" si="19"/>
        <v>1</v>
      </c>
      <c r="Q243" s="113">
        <f t="shared" si="19"/>
        <v>1</v>
      </c>
      <c r="R243" s="113">
        <f t="shared" si="19"/>
        <v>1</v>
      </c>
      <c r="S243" s="113">
        <f t="shared" si="19"/>
        <v>1</v>
      </c>
      <c r="T243" s="113">
        <f t="shared" si="19"/>
        <v>1</v>
      </c>
      <c r="U243" s="113">
        <f t="shared" si="19"/>
        <v>1</v>
      </c>
      <c r="V243" s="113">
        <f t="shared" si="19"/>
        <v>1</v>
      </c>
      <c r="W243" s="113">
        <f t="shared" si="19"/>
        <v>1</v>
      </c>
      <c r="X243" s="113">
        <f t="shared" si="19"/>
        <v>1</v>
      </c>
      <c r="Y243" s="113">
        <f t="shared" si="19"/>
        <v>1</v>
      </c>
      <c r="Z243" s="113">
        <f t="shared" si="19"/>
        <v>1</v>
      </c>
      <c r="AA243" s="113">
        <f t="shared" si="19"/>
        <v>1</v>
      </c>
      <c r="AB243" s="113">
        <f t="shared" si="19"/>
        <v>1</v>
      </c>
      <c r="AC243" s="113">
        <f t="shared" si="19"/>
        <v>1</v>
      </c>
      <c r="AD243" s="113">
        <f t="shared" si="19"/>
        <v>1</v>
      </c>
      <c r="AE243" s="113">
        <f t="shared" si="19"/>
        <v>1</v>
      </c>
      <c r="AF243" s="113">
        <f t="shared" si="19"/>
        <v>1</v>
      </c>
      <c r="AG243" s="113">
        <f t="shared" si="19"/>
        <v>1</v>
      </c>
      <c r="AH243" s="113">
        <f t="shared" si="19"/>
        <v>1</v>
      </c>
      <c r="AI243" s="113">
        <f t="shared" si="19"/>
        <v>1</v>
      </c>
      <c r="AJ243" s="113">
        <f t="shared" si="19"/>
        <v>1</v>
      </c>
      <c r="AK243" s="113">
        <f t="shared" si="19"/>
        <v>1</v>
      </c>
      <c r="AL243" s="113">
        <f t="shared" si="19"/>
        <v>1</v>
      </c>
      <c r="AM243" s="113">
        <f t="shared" si="19"/>
        <v>1</v>
      </c>
      <c r="AN243" s="113">
        <f t="shared" si="19"/>
        <v>1</v>
      </c>
    </row>
    <row r="244" spans="1:40" x14ac:dyDescent="0.25">
      <c r="A244" s="113" t="s">
        <v>1052</v>
      </c>
      <c r="B244" s="113" t="s">
        <v>1438</v>
      </c>
      <c r="C244" s="113" t="s">
        <v>1421</v>
      </c>
      <c r="D244" s="113" t="s">
        <v>1431</v>
      </c>
      <c r="E244" s="113" t="s">
        <v>1435</v>
      </c>
      <c r="F244" s="113" t="s">
        <v>707</v>
      </c>
      <c r="G244" s="113" t="s">
        <v>1101</v>
      </c>
      <c r="H244" s="113" t="s">
        <v>707</v>
      </c>
      <c r="I244" s="620">
        <f>PAMS!F$65</f>
        <v>0</v>
      </c>
      <c r="J244" s="620">
        <f>INDEX(PAMS!$I$53:$Q$60,MATCH($C244,PAMS!$B$53:$B$60,0),MATCH(J$2,PAMS!$I$52:$Q$52,0))</f>
        <v>0</v>
      </c>
      <c r="K244" s="620">
        <f>J244+($M244-$J244)/3</f>
        <v>0</v>
      </c>
      <c r="L244" s="620">
        <f>K244+($M244-$J244)/3</f>
        <v>0</v>
      </c>
      <c r="M244" s="620">
        <f>INDEX(PAMS!$I$53:$Q$60,MATCH($C244,PAMS!$B$53:$B$60,0),MATCH(M$2,PAMS!$I$52:$Q$52,0))</f>
        <v>0</v>
      </c>
      <c r="N244" s="620">
        <f>M244+($R244-$M244)/3</f>
        <v>0</v>
      </c>
      <c r="O244" s="620">
        <f>N244+($R244-$M244)/3</f>
        <v>0</v>
      </c>
      <c r="P244" s="620">
        <f>O244+($R244-$M244)/3</f>
        <v>0</v>
      </c>
      <c r="Q244" s="620">
        <f>P244+($R244-$M244)/3</f>
        <v>0</v>
      </c>
      <c r="R244" s="620">
        <f>INDEX(PAMS!$I$53:$Q$60,MATCH($C244,PAMS!$B$53:$B$60,0),MATCH(R$2,PAMS!$I$52:$Q$52,0))</f>
        <v>0</v>
      </c>
      <c r="S244" s="620">
        <f>R244+($W244-$R244)/4</f>
        <v>0</v>
      </c>
      <c r="T244" s="620">
        <f>S244+($W244-$R244)/4</f>
        <v>0</v>
      </c>
      <c r="U244" s="620">
        <f>T244+($W244-$R244)/4</f>
        <v>0</v>
      </c>
      <c r="V244" s="620">
        <f>U244+($W244-$R244)/4</f>
        <v>0</v>
      </c>
      <c r="W244" s="620">
        <f>INDEX(PAMS!$I$53:$Q$60,MATCH($C244,PAMS!$B$53:$B$60,0),MATCH(W$2,PAMS!$I$52:$Q$52,0))</f>
        <v>0</v>
      </c>
      <c r="X244" s="620">
        <f>W244+($AB244-$W244)/4</f>
        <v>0</v>
      </c>
      <c r="Y244" s="620">
        <f>X244+($AB244-$W244)/4</f>
        <v>0</v>
      </c>
      <c r="Z244" s="620">
        <f>Y244+($AB244-$W244)/4</f>
        <v>0</v>
      </c>
      <c r="AA244" s="620">
        <f>Z244+($AB244-$W244)/4</f>
        <v>0</v>
      </c>
      <c r="AB244" s="620">
        <f>INDEX(PAMS!$I$53:$Q$60,MATCH($C244,PAMS!$B$53:$B$60,0),MATCH(AB$2,PAMS!$I$52:$Q$52,0))</f>
        <v>0</v>
      </c>
      <c r="AC244" s="620">
        <f>AB244+($AG244-$AB244)/4</f>
        <v>0</v>
      </c>
      <c r="AD244" s="620">
        <f>AC244+($AG244-$AB244)/4</f>
        <v>0</v>
      </c>
      <c r="AE244" s="620">
        <f>AD244+($AG244-$AB244)/4</f>
        <v>0</v>
      </c>
      <c r="AF244" s="620">
        <f>AE244+($AG244-$AB244)/4</f>
        <v>0</v>
      </c>
      <c r="AG244" s="620">
        <f>INDEX(PAMS!$I$53:$Q$60,MATCH($C244,PAMS!$B$53:$B$60,0),MATCH(AG$2,PAMS!$I$52:$Q$52,0))</f>
        <v>0</v>
      </c>
      <c r="AH244" s="620">
        <f>AG244+($AM244-$AG244)/4</f>
        <v>0</v>
      </c>
      <c r="AI244" s="620">
        <f>AH244+($AM244-$AG244)/4</f>
        <v>0</v>
      </c>
      <c r="AJ244" s="620">
        <f>AI244+($AM244-$AG244)/4</f>
        <v>0</v>
      </c>
      <c r="AK244" s="620">
        <f>AJ244+($AM244-$AG244)/4</f>
        <v>0</v>
      </c>
      <c r="AL244" s="620">
        <f>INDEX(PAMS!$I$53:$Q$60,MATCH($C244,PAMS!$B$53:$B$60,0),MATCH(AL$2,PAMS!$I$52:$Q$52,0))</f>
        <v>0</v>
      </c>
      <c r="AM244" s="620">
        <f>INDEX(PAMS!$I$53:$Q$60,MATCH($C244,PAMS!$B$53:$B$60,0),MATCH(AM$2,PAMS!$I$52:$Q$52,0))</f>
        <v>0</v>
      </c>
      <c r="AN244" s="620">
        <f>INDEX(PAMS!$I$53:$Q$60,MATCH($C244,PAMS!$B$53:$B$60,0),MATCH(AN$2,PAMS!$I$52:$Q$52,0))</f>
        <v>0</v>
      </c>
    </row>
    <row r="245" spans="1:40" x14ac:dyDescent="0.25">
      <c r="A245" s="113" t="s">
        <v>1052</v>
      </c>
      <c r="B245" s="113" t="s">
        <v>1438</v>
      </c>
      <c r="C245" s="113" t="s">
        <v>1421</v>
      </c>
      <c r="D245" s="113" t="s">
        <v>1431</v>
      </c>
      <c r="E245" s="113" t="s">
        <v>1447</v>
      </c>
      <c r="F245" s="113" t="s">
        <v>707</v>
      </c>
      <c r="G245" s="113" t="s">
        <v>1101</v>
      </c>
      <c r="H245" s="113" t="s">
        <v>707</v>
      </c>
      <c r="I245" s="113">
        <v>0</v>
      </c>
      <c r="J245" s="113">
        <v>1</v>
      </c>
      <c r="K245" s="113">
        <f t="shared" ref="K245:AN245" si="20">J245</f>
        <v>1</v>
      </c>
      <c r="L245" s="113">
        <f t="shared" si="20"/>
        <v>1</v>
      </c>
      <c r="M245" s="113">
        <f t="shared" si="20"/>
        <v>1</v>
      </c>
      <c r="N245" s="113">
        <f t="shared" si="20"/>
        <v>1</v>
      </c>
      <c r="O245" s="113">
        <f t="shared" si="20"/>
        <v>1</v>
      </c>
      <c r="P245" s="113">
        <f t="shared" si="20"/>
        <v>1</v>
      </c>
      <c r="Q245" s="113">
        <f t="shared" si="20"/>
        <v>1</v>
      </c>
      <c r="R245" s="113">
        <f t="shared" si="20"/>
        <v>1</v>
      </c>
      <c r="S245" s="113">
        <f t="shared" si="20"/>
        <v>1</v>
      </c>
      <c r="T245" s="113">
        <f t="shared" si="20"/>
        <v>1</v>
      </c>
      <c r="U245" s="113">
        <f t="shared" si="20"/>
        <v>1</v>
      </c>
      <c r="V245" s="113">
        <f t="shared" si="20"/>
        <v>1</v>
      </c>
      <c r="W245" s="113">
        <f t="shared" si="20"/>
        <v>1</v>
      </c>
      <c r="X245" s="113">
        <f t="shared" si="20"/>
        <v>1</v>
      </c>
      <c r="Y245" s="113">
        <f t="shared" si="20"/>
        <v>1</v>
      </c>
      <c r="Z245" s="113">
        <f t="shared" si="20"/>
        <v>1</v>
      </c>
      <c r="AA245" s="113">
        <f t="shared" si="20"/>
        <v>1</v>
      </c>
      <c r="AB245" s="113">
        <f t="shared" si="20"/>
        <v>1</v>
      </c>
      <c r="AC245" s="113">
        <f t="shared" si="20"/>
        <v>1</v>
      </c>
      <c r="AD245" s="113">
        <f t="shared" si="20"/>
        <v>1</v>
      </c>
      <c r="AE245" s="113">
        <f t="shared" si="20"/>
        <v>1</v>
      </c>
      <c r="AF245" s="113">
        <f t="shared" si="20"/>
        <v>1</v>
      </c>
      <c r="AG245" s="113">
        <f t="shared" si="20"/>
        <v>1</v>
      </c>
      <c r="AH245" s="113">
        <f t="shared" si="20"/>
        <v>1</v>
      </c>
      <c r="AI245" s="113">
        <f t="shared" si="20"/>
        <v>1</v>
      </c>
      <c r="AJ245" s="113">
        <f t="shared" si="20"/>
        <v>1</v>
      </c>
      <c r="AK245" s="113">
        <f t="shared" si="20"/>
        <v>1</v>
      </c>
      <c r="AL245" s="113">
        <f t="shared" si="20"/>
        <v>1</v>
      </c>
      <c r="AM245" s="113">
        <f t="shared" si="20"/>
        <v>1</v>
      </c>
      <c r="AN245" s="113">
        <f t="shared" si="20"/>
        <v>1</v>
      </c>
    </row>
    <row r="246" spans="1:40" x14ac:dyDescent="0.25">
      <c r="A246" s="113" t="s">
        <v>1052</v>
      </c>
      <c r="B246" s="113" t="s">
        <v>1438</v>
      </c>
      <c r="C246" s="113" t="s">
        <v>1419</v>
      </c>
      <c r="D246" s="113" t="s">
        <v>1431</v>
      </c>
      <c r="E246" s="113" t="s">
        <v>1435</v>
      </c>
      <c r="F246" s="113" t="s">
        <v>707</v>
      </c>
      <c r="G246" s="113" t="s">
        <v>1101</v>
      </c>
      <c r="H246" s="113" t="s">
        <v>707</v>
      </c>
      <c r="I246" s="620">
        <f>PAMS!F$65</f>
        <v>0</v>
      </c>
      <c r="J246" s="620">
        <f>INDEX(PAMS!$I$53:$Q$60,MATCH($C246,PAMS!$B$53:$B$60,0),MATCH(J$2,PAMS!$I$52:$Q$52,0))</f>
        <v>0</v>
      </c>
      <c r="K246" s="620">
        <f>J246+($M246-$J246)/3</f>
        <v>0</v>
      </c>
      <c r="L246" s="620">
        <f>K246+($M246-$J246)/3</f>
        <v>0</v>
      </c>
      <c r="M246" s="620">
        <f>INDEX(PAMS!$I$53:$Q$60,MATCH($C246,PAMS!$B$53:$B$60,0),MATCH(M$2,PAMS!$I$52:$Q$52,0))</f>
        <v>0</v>
      </c>
      <c r="N246" s="620">
        <f>M246+($R246-$M246)/3</f>
        <v>0</v>
      </c>
      <c r="O246" s="620">
        <f>N246+($R246-$M246)/3</f>
        <v>0</v>
      </c>
      <c r="P246" s="620">
        <f>O246+($R246-$M246)/3</f>
        <v>0</v>
      </c>
      <c r="Q246" s="620">
        <f>P246+($R246-$M246)/3</f>
        <v>0</v>
      </c>
      <c r="R246" s="620">
        <f>INDEX(PAMS!$I$53:$Q$60,MATCH($C246,PAMS!$B$53:$B$60,0),MATCH(R$2,PAMS!$I$52:$Q$52,0))</f>
        <v>0</v>
      </c>
      <c r="S246" s="620">
        <f>R246+($W246-$R246)/4</f>
        <v>0</v>
      </c>
      <c r="T246" s="620">
        <f>S246+($W246-$R246)/4</f>
        <v>0</v>
      </c>
      <c r="U246" s="620">
        <f>T246+($W246-$R246)/4</f>
        <v>0</v>
      </c>
      <c r="V246" s="620">
        <f>U246+($W246-$R246)/4</f>
        <v>0</v>
      </c>
      <c r="W246" s="620">
        <f>INDEX(PAMS!$I$53:$Q$60,MATCH($C246,PAMS!$B$53:$B$60,0),MATCH(W$2,PAMS!$I$52:$Q$52,0))</f>
        <v>0</v>
      </c>
      <c r="X246" s="620">
        <f>W246+($AB246-$W246)/4</f>
        <v>0</v>
      </c>
      <c r="Y246" s="620">
        <f>X246+($AB246-$W246)/4</f>
        <v>0</v>
      </c>
      <c r="Z246" s="620">
        <f>Y246+($AB246-$W246)/4</f>
        <v>0</v>
      </c>
      <c r="AA246" s="620">
        <f>Z246+($AB246-$W246)/4</f>
        <v>0</v>
      </c>
      <c r="AB246" s="620">
        <f>INDEX(PAMS!$I$53:$Q$60,MATCH($C246,PAMS!$B$53:$B$60,0),MATCH(AB$2,PAMS!$I$52:$Q$52,0))</f>
        <v>0</v>
      </c>
      <c r="AC246" s="620">
        <f>AB246+($AG246-$AB246)/4</f>
        <v>0</v>
      </c>
      <c r="AD246" s="620">
        <f>AC246+($AG246-$AB246)/4</f>
        <v>0</v>
      </c>
      <c r="AE246" s="620">
        <f>AD246+($AG246-$AB246)/4</f>
        <v>0</v>
      </c>
      <c r="AF246" s="620">
        <f>AE246+($AG246-$AB246)/4</f>
        <v>0</v>
      </c>
      <c r="AG246" s="620">
        <f>INDEX(PAMS!$I$53:$Q$60,MATCH($C246,PAMS!$B$53:$B$60,0),MATCH(AG$2,PAMS!$I$52:$Q$52,0))</f>
        <v>0</v>
      </c>
      <c r="AH246" s="620">
        <f>AG246+($AM246-$AG246)/4</f>
        <v>0</v>
      </c>
      <c r="AI246" s="620">
        <f>AH246+($AM246-$AG246)/4</f>
        <v>0</v>
      </c>
      <c r="AJ246" s="620">
        <f>AI246+($AM246-$AG246)/4</f>
        <v>0</v>
      </c>
      <c r="AK246" s="620">
        <f>AJ246+($AM246-$AG246)/4</f>
        <v>0</v>
      </c>
      <c r="AL246" s="620">
        <f>INDEX(PAMS!$I$53:$Q$60,MATCH($C246,PAMS!$B$53:$B$60,0),MATCH(AL$2,PAMS!$I$52:$Q$52,0))</f>
        <v>0</v>
      </c>
      <c r="AM246" s="620">
        <f>INDEX(PAMS!$I$53:$Q$60,MATCH($C246,PAMS!$B$53:$B$60,0),MATCH(AM$2,PAMS!$I$52:$Q$52,0))</f>
        <v>0</v>
      </c>
      <c r="AN246" s="620">
        <f>INDEX(PAMS!$I$53:$Q$60,MATCH($C246,PAMS!$B$53:$B$60,0),MATCH(AN$2,PAMS!$I$52:$Q$52,0))</f>
        <v>0</v>
      </c>
    </row>
    <row r="247" spans="1:40" x14ac:dyDescent="0.25">
      <c r="A247" s="113" t="s">
        <v>1052</v>
      </c>
      <c r="B247" s="113" t="s">
        <v>1438</v>
      </c>
      <c r="C247" s="113" t="s">
        <v>1419</v>
      </c>
      <c r="D247" s="113" t="s">
        <v>1431</v>
      </c>
      <c r="E247" s="113" t="s">
        <v>1446</v>
      </c>
      <c r="F247" s="113" t="s">
        <v>707</v>
      </c>
      <c r="G247" s="113" t="s">
        <v>1101</v>
      </c>
      <c r="H247" s="113" t="s">
        <v>707</v>
      </c>
      <c r="I247" s="113">
        <v>0</v>
      </c>
      <c r="J247" s="113">
        <v>1</v>
      </c>
      <c r="K247" s="113">
        <f t="shared" ref="K247:AN247" si="21">J247</f>
        <v>1</v>
      </c>
      <c r="L247" s="113">
        <f t="shared" si="21"/>
        <v>1</v>
      </c>
      <c r="M247" s="113">
        <f t="shared" si="21"/>
        <v>1</v>
      </c>
      <c r="N247" s="113">
        <f t="shared" si="21"/>
        <v>1</v>
      </c>
      <c r="O247" s="113">
        <f t="shared" si="21"/>
        <v>1</v>
      </c>
      <c r="P247" s="113">
        <f t="shared" si="21"/>
        <v>1</v>
      </c>
      <c r="Q247" s="113">
        <f t="shared" si="21"/>
        <v>1</v>
      </c>
      <c r="R247" s="113">
        <f t="shared" si="21"/>
        <v>1</v>
      </c>
      <c r="S247" s="113">
        <f t="shared" si="21"/>
        <v>1</v>
      </c>
      <c r="T247" s="113">
        <f t="shared" si="21"/>
        <v>1</v>
      </c>
      <c r="U247" s="113">
        <f t="shared" si="21"/>
        <v>1</v>
      </c>
      <c r="V247" s="113">
        <f t="shared" si="21"/>
        <v>1</v>
      </c>
      <c r="W247" s="113">
        <f t="shared" si="21"/>
        <v>1</v>
      </c>
      <c r="X247" s="113">
        <f t="shared" si="21"/>
        <v>1</v>
      </c>
      <c r="Y247" s="113">
        <f t="shared" si="21"/>
        <v>1</v>
      </c>
      <c r="Z247" s="113">
        <f t="shared" si="21"/>
        <v>1</v>
      </c>
      <c r="AA247" s="113">
        <f t="shared" si="21"/>
        <v>1</v>
      </c>
      <c r="AB247" s="113">
        <f t="shared" si="21"/>
        <v>1</v>
      </c>
      <c r="AC247" s="113">
        <f t="shared" si="21"/>
        <v>1</v>
      </c>
      <c r="AD247" s="113">
        <f t="shared" si="21"/>
        <v>1</v>
      </c>
      <c r="AE247" s="113">
        <f t="shared" si="21"/>
        <v>1</v>
      </c>
      <c r="AF247" s="113">
        <f t="shared" si="21"/>
        <v>1</v>
      </c>
      <c r="AG247" s="113">
        <f t="shared" si="21"/>
        <v>1</v>
      </c>
      <c r="AH247" s="113">
        <f t="shared" si="21"/>
        <v>1</v>
      </c>
      <c r="AI247" s="113">
        <f t="shared" si="21"/>
        <v>1</v>
      </c>
      <c r="AJ247" s="113">
        <f t="shared" si="21"/>
        <v>1</v>
      </c>
      <c r="AK247" s="113">
        <f t="shared" si="21"/>
        <v>1</v>
      </c>
      <c r="AL247" s="113">
        <f t="shared" si="21"/>
        <v>1</v>
      </c>
      <c r="AM247" s="113">
        <f t="shared" si="21"/>
        <v>1</v>
      </c>
      <c r="AN247" s="113">
        <f t="shared" si="21"/>
        <v>1</v>
      </c>
    </row>
    <row r="248" spans="1:40" x14ac:dyDescent="0.25">
      <c r="A248" s="113" t="s">
        <v>1052</v>
      </c>
      <c r="B248" s="113" t="s">
        <v>1438</v>
      </c>
      <c r="C248" s="113" t="s">
        <v>1415</v>
      </c>
      <c r="D248" s="113" t="s">
        <v>1431</v>
      </c>
      <c r="E248" s="113" t="s">
        <v>1434</v>
      </c>
      <c r="F248" s="113" t="s">
        <v>707</v>
      </c>
      <c r="G248" s="113" t="s">
        <v>1101</v>
      </c>
      <c r="H248" s="113" t="s">
        <v>707</v>
      </c>
      <c r="I248" s="620">
        <f>PAMS!F$65</f>
        <v>0</v>
      </c>
      <c r="J248" s="620">
        <f>INDEX(PAMS!$I$53:$Q$60,MATCH($C248,PAMS!$B$53:$B$60,0),MATCH(J$2,PAMS!$I$52:$Q$52,0))</f>
        <v>0</v>
      </c>
      <c r="K248" s="620">
        <f>J248+($M248-$J248)/3</f>
        <v>0</v>
      </c>
      <c r="L248" s="620">
        <f>K248+($M248-$J248)/3</f>
        <v>0</v>
      </c>
      <c r="M248" s="620">
        <f>INDEX(PAMS!$I$53:$Q$60,MATCH($C248,PAMS!$B$53:$B$60,0),MATCH(M$2,PAMS!$I$52:$Q$52,0))</f>
        <v>0</v>
      </c>
      <c r="N248" s="620">
        <f>M248+($R248-$M248)/3</f>
        <v>0</v>
      </c>
      <c r="O248" s="620">
        <f>N248+($R248-$M248)/3</f>
        <v>0</v>
      </c>
      <c r="P248" s="620">
        <f>O248+($R248-$M248)/3</f>
        <v>0</v>
      </c>
      <c r="Q248" s="620">
        <f>P248+($R248-$M248)/3</f>
        <v>0</v>
      </c>
      <c r="R248" s="620">
        <f>INDEX(PAMS!$I$53:$Q$60,MATCH($C248,PAMS!$B$53:$B$60,0),MATCH(R$2,PAMS!$I$52:$Q$52,0))</f>
        <v>0</v>
      </c>
      <c r="S248" s="620">
        <f>R248+($W248-$R248)/4</f>
        <v>0</v>
      </c>
      <c r="T248" s="620">
        <f>S248+($W248-$R248)/4</f>
        <v>0</v>
      </c>
      <c r="U248" s="620">
        <f>T248+($W248-$R248)/4</f>
        <v>0</v>
      </c>
      <c r="V248" s="620">
        <f>U248+($W248-$R248)/4</f>
        <v>0</v>
      </c>
      <c r="W248" s="620">
        <f>INDEX(PAMS!$I$53:$Q$60,MATCH($C248,PAMS!$B$53:$B$60,0),MATCH(W$2,PAMS!$I$52:$Q$52,0))</f>
        <v>0</v>
      </c>
      <c r="X248" s="620">
        <f>W248+($AB248-$W248)/4</f>
        <v>0</v>
      </c>
      <c r="Y248" s="620">
        <f>X248+($AB248-$W248)/4</f>
        <v>0</v>
      </c>
      <c r="Z248" s="620">
        <f>Y248+($AB248-$W248)/4</f>
        <v>0</v>
      </c>
      <c r="AA248" s="620">
        <f>Z248+($AB248-$W248)/4</f>
        <v>0</v>
      </c>
      <c r="AB248" s="620">
        <f>INDEX(PAMS!$I$53:$Q$60,MATCH($C248,PAMS!$B$53:$B$60,0),MATCH(AB$2,PAMS!$I$52:$Q$52,0))</f>
        <v>0</v>
      </c>
      <c r="AC248" s="620">
        <f>AB248+($AG248-$AB248)/4</f>
        <v>0</v>
      </c>
      <c r="AD248" s="620">
        <f>AC248+($AG248-$AB248)/4</f>
        <v>0</v>
      </c>
      <c r="AE248" s="620">
        <f>AD248+($AG248-$AB248)/4</f>
        <v>0</v>
      </c>
      <c r="AF248" s="620">
        <f>AE248+($AG248-$AB248)/4</f>
        <v>0</v>
      </c>
      <c r="AG248" s="620">
        <f>INDEX(PAMS!$I$53:$Q$60,MATCH($C248,PAMS!$B$53:$B$60,0),MATCH(AG$2,PAMS!$I$52:$Q$52,0))</f>
        <v>0</v>
      </c>
      <c r="AH248" s="620">
        <f>AG248+($AM248-$AG248)/4</f>
        <v>0</v>
      </c>
      <c r="AI248" s="620">
        <f>AH248+($AM248-$AG248)/4</f>
        <v>0</v>
      </c>
      <c r="AJ248" s="620">
        <f>AI248+($AM248-$AG248)/4</f>
        <v>0</v>
      </c>
      <c r="AK248" s="620">
        <f>AJ248+($AM248-$AG248)/4</f>
        <v>0</v>
      </c>
      <c r="AL248" s="620">
        <f>INDEX(PAMS!$I$53:$Q$60,MATCH($C248,PAMS!$B$53:$B$60,0),MATCH(AL$2,PAMS!$I$52:$Q$52,0))</f>
        <v>0</v>
      </c>
      <c r="AM248" s="620">
        <f>INDEX(PAMS!$I$53:$Q$60,MATCH($C248,PAMS!$B$53:$B$60,0),MATCH(AM$2,PAMS!$I$52:$Q$52,0))</f>
        <v>0</v>
      </c>
      <c r="AN248" s="620">
        <f>INDEX(PAMS!$I$53:$Q$60,MATCH($C248,PAMS!$B$53:$B$60,0),MATCH(AN$2,PAMS!$I$52:$Q$52,0))</f>
        <v>0</v>
      </c>
    </row>
    <row r="249" spans="1:40" x14ac:dyDescent="0.25">
      <c r="A249" s="113" t="s">
        <v>1052</v>
      </c>
      <c r="B249" s="113" t="s">
        <v>1438</v>
      </c>
      <c r="C249" s="113" t="s">
        <v>1415</v>
      </c>
      <c r="D249" s="113" t="s">
        <v>1431</v>
      </c>
      <c r="E249" s="113" t="s">
        <v>1445</v>
      </c>
      <c r="F249" s="113" t="s">
        <v>707</v>
      </c>
      <c r="G249" s="113" t="s">
        <v>1101</v>
      </c>
      <c r="H249" s="113" t="s">
        <v>707</v>
      </c>
      <c r="I249" s="113">
        <v>0</v>
      </c>
      <c r="J249" s="113">
        <v>1</v>
      </c>
      <c r="K249" s="113">
        <f t="shared" ref="K249:AN249" si="22">J249</f>
        <v>1</v>
      </c>
      <c r="L249" s="113">
        <f t="shared" si="22"/>
        <v>1</v>
      </c>
      <c r="M249" s="113">
        <f t="shared" si="22"/>
        <v>1</v>
      </c>
      <c r="N249" s="113">
        <f t="shared" si="22"/>
        <v>1</v>
      </c>
      <c r="O249" s="113">
        <f t="shared" si="22"/>
        <v>1</v>
      </c>
      <c r="P249" s="113">
        <f t="shared" si="22"/>
        <v>1</v>
      </c>
      <c r="Q249" s="113">
        <f t="shared" si="22"/>
        <v>1</v>
      </c>
      <c r="R249" s="113">
        <f t="shared" si="22"/>
        <v>1</v>
      </c>
      <c r="S249" s="113">
        <f t="shared" si="22"/>
        <v>1</v>
      </c>
      <c r="T249" s="113">
        <f t="shared" si="22"/>
        <v>1</v>
      </c>
      <c r="U249" s="113">
        <f t="shared" si="22"/>
        <v>1</v>
      </c>
      <c r="V249" s="113">
        <f t="shared" si="22"/>
        <v>1</v>
      </c>
      <c r="W249" s="113">
        <f t="shared" si="22"/>
        <v>1</v>
      </c>
      <c r="X249" s="113">
        <f t="shared" si="22"/>
        <v>1</v>
      </c>
      <c r="Y249" s="113">
        <f t="shared" si="22"/>
        <v>1</v>
      </c>
      <c r="Z249" s="113">
        <f t="shared" si="22"/>
        <v>1</v>
      </c>
      <c r="AA249" s="113">
        <f t="shared" si="22"/>
        <v>1</v>
      </c>
      <c r="AB249" s="113">
        <f t="shared" si="22"/>
        <v>1</v>
      </c>
      <c r="AC249" s="113">
        <f t="shared" si="22"/>
        <v>1</v>
      </c>
      <c r="AD249" s="113">
        <f t="shared" si="22"/>
        <v>1</v>
      </c>
      <c r="AE249" s="113">
        <f t="shared" si="22"/>
        <v>1</v>
      </c>
      <c r="AF249" s="113">
        <f t="shared" si="22"/>
        <v>1</v>
      </c>
      <c r="AG249" s="113">
        <f t="shared" si="22"/>
        <v>1</v>
      </c>
      <c r="AH249" s="113">
        <f t="shared" si="22"/>
        <v>1</v>
      </c>
      <c r="AI249" s="113">
        <f t="shared" si="22"/>
        <v>1</v>
      </c>
      <c r="AJ249" s="113">
        <f t="shared" si="22"/>
        <v>1</v>
      </c>
      <c r="AK249" s="113">
        <f t="shared" si="22"/>
        <v>1</v>
      </c>
      <c r="AL249" s="113">
        <f t="shared" si="22"/>
        <v>1</v>
      </c>
      <c r="AM249" s="113">
        <f t="shared" si="22"/>
        <v>1</v>
      </c>
      <c r="AN249" s="113">
        <f t="shared" si="22"/>
        <v>1</v>
      </c>
    </row>
    <row r="250" spans="1:40" x14ac:dyDescent="0.25">
      <c r="A250" s="113" t="s">
        <v>1052</v>
      </c>
      <c r="B250" s="113" t="s">
        <v>1438</v>
      </c>
      <c r="C250" s="113" t="s">
        <v>1413</v>
      </c>
      <c r="D250" s="113" t="s">
        <v>1431</v>
      </c>
      <c r="E250" s="113" t="s">
        <v>1434</v>
      </c>
      <c r="F250" s="113" t="s">
        <v>707</v>
      </c>
      <c r="G250" s="113" t="s">
        <v>1101</v>
      </c>
      <c r="H250" s="113" t="s">
        <v>707</v>
      </c>
      <c r="I250" s="620">
        <f>PAMS!F$65</f>
        <v>0</v>
      </c>
      <c r="J250" s="620">
        <f>INDEX(PAMS!$I$53:$Q$60,MATCH($C250,PAMS!$B$53:$B$60,0),MATCH(J$2,PAMS!$I$52:$Q$52,0))</f>
        <v>0</v>
      </c>
      <c r="K250" s="620">
        <f>J250+($M250-$J250)/3</f>
        <v>0</v>
      </c>
      <c r="L250" s="620">
        <f>K250+($M250-$J250)/3</f>
        <v>0</v>
      </c>
      <c r="M250" s="620">
        <f>INDEX(PAMS!$I$53:$Q$60,MATCH($C250,PAMS!$B$53:$B$60,0),MATCH(M$2,PAMS!$I$52:$Q$52,0))</f>
        <v>0</v>
      </c>
      <c r="N250" s="620">
        <f>M250+($R250-$M250)/3</f>
        <v>0</v>
      </c>
      <c r="O250" s="620">
        <f>N250+($R250-$M250)/3</f>
        <v>0</v>
      </c>
      <c r="P250" s="620">
        <f>O250+($R250-$M250)/3</f>
        <v>0</v>
      </c>
      <c r="Q250" s="620">
        <f>P250+($R250-$M250)/3</f>
        <v>0</v>
      </c>
      <c r="R250" s="620">
        <f>INDEX(PAMS!$I$53:$Q$60,MATCH($C250,PAMS!$B$53:$B$60,0),MATCH(R$2,PAMS!$I$52:$Q$52,0))</f>
        <v>0</v>
      </c>
      <c r="S250" s="620">
        <f>R250+($W250-$R250)/4</f>
        <v>0</v>
      </c>
      <c r="T250" s="620">
        <f>S250+($W250-$R250)/4</f>
        <v>0</v>
      </c>
      <c r="U250" s="620">
        <f>T250+($W250-$R250)/4</f>
        <v>0</v>
      </c>
      <c r="V250" s="620">
        <f>U250+($W250-$R250)/4</f>
        <v>0</v>
      </c>
      <c r="W250" s="620">
        <f>INDEX(PAMS!$I$53:$Q$60,MATCH($C250,PAMS!$B$53:$B$60,0),MATCH(W$2,PAMS!$I$52:$Q$52,0))</f>
        <v>0</v>
      </c>
      <c r="X250" s="620">
        <f>W250+($AB250-$W250)/4</f>
        <v>0</v>
      </c>
      <c r="Y250" s="620">
        <f>X250+($AB250-$W250)/4</f>
        <v>0</v>
      </c>
      <c r="Z250" s="620">
        <f>Y250+($AB250-$W250)/4</f>
        <v>0</v>
      </c>
      <c r="AA250" s="620">
        <f>Z250+($AB250-$W250)/4</f>
        <v>0</v>
      </c>
      <c r="AB250" s="620">
        <f>INDEX(PAMS!$I$53:$Q$60,MATCH($C250,PAMS!$B$53:$B$60,0),MATCH(AB$2,PAMS!$I$52:$Q$52,0))</f>
        <v>0</v>
      </c>
      <c r="AC250" s="620">
        <f>AB250+($AG250-$AB250)/4</f>
        <v>0</v>
      </c>
      <c r="AD250" s="620">
        <f>AC250+($AG250-$AB250)/4</f>
        <v>0</v>
      </c>
      <c r="AE250" s="620">
        <f>AD250+($AG250-$AB250)/4</f>
        <v>0</v>
      </c>
      <c r="AF250" s="620">
        <f>AE250+($AG250-$AB250)/4</f>
        <v>0</v>
      </c>
      <c r="AG250" s="620">
        <f>INDEX(PAMS!$I$53:$Q$60,MATCH($C250,PAMS!$B$53:$B$60,0),MATCH(AG$2,PAMS!$I$52:$Q$52,0))</f>
        <v>0</v>
      </c>
      <c r="AH250" s="620">
        <f>AG250+($AM250-$AG250)/4</f>
        <v>0</v>
      </c>
      <c r="AI250" s="620">
        <f>AH250+($AM250-$AG250)/4</f>
        <v>0</v>
      </c>
      <c r="AJ250" s="620">
        <f>AI250+($AM250-$AG250)/4</f>
        <v>0</v>
      </c>
      <c r="AK250" s="620">
        <f>AJ250+($AM250-$AG250)/4</f>
        <v>0</v>
      </c>
      <c r="AL250" s="620">
        <f>INDEX(PAMS!$I$53:$Q$60,MATCH($C250,PAMS!$B$53:$B$60,0),MATCH(AL$2,PAMS!$I$52:$Q$52,0))</f>
        <v>0</v>
      </c>
      <c r="AM250" s="620">
        <f>INDEX(PAMS!$I$53:$Q$60,MATCH($C250,PAMS!$B$53:$B$60,0),MATCH(AM$2,PAMS!$I$52:$Q$52,0))</f>
        <v>0</v>
      </c>
      <c r="AN250" s="620">
        <f>INDEX(PAMS!$I$53:$Q$60,MATCH($C250,PAMS!$B$53:$B$60,0),MATCH(AN$2,PAMS!$I$52:$Q$52,0))</f>
        <v>0</v>
      </c>
    </row>
    <row r="251" spans="1:40" x14ac:dyDescent="0.25">
      <c r="A251" s="113" t="s">
        <v>1052</v>
      </c>
      <c r="B251" s="113" t="s">
        <v>1438</v>
      </c>
      <c r="C251" s="113" t="s">
        <v>1413</v>
      </c>
      <c r="D251" s="113" t="s">
        <v>1431</v>
      </c>
      <c r="E251" s="113" t="s">
        <v>1444</v>
      </c>
      <c r="F251" s="113" t="s">
        <v>707</v>
      </c>
      <c r="G251" s="113" t="s">
        <v>1101</v>
      </c>
      <c r="H251" s="113" t="s">
        <v>707</v>
      </c>
      <c r="I251" s="113">
        <v>0</v>
      </c>
      <c r="J251" s="113">
        <v>1</v>
      </c>
      <c r="K251" s="113">
        <f t="shared" ref="K251:AN251" si="23">J251</f>
        <v>1</v>
      </c>
      <c r="L251" s="113">
        <f t="shared" si="23"/>
        <v>1</v>
      </c>
      <c r="M251" s="113">
        <f t="shared" si="23"/>
        <v>1</v>
      </c>
      <c r="N251" s="113">
        <f t="shared" si="23"/>
        <v>1</v>
      </c>
      <c r="O251" s="113">
        <f t="shared" si="23"/>
        <v>1</v>
      </c>
      <c r="P251" s="113">
        <f t="shared" si="23"/>
        <v>1</v>
      </c>
      <c r="Q251" s="113">
        <f t="shared" si="23"/>
        <v>1</v>
      </c>
      <c r="R251" s="113">
        <f t="shared" si="23"/>
        <v>1</v>
      </c>
      <c r="S251" s="113">
        <f t="shared" si="23"/>
        <v>1</v>
      </c>
      <c r="T251" s="113">
        <f t="shared" si="23"/>
        <v>1</v>
      </c>
      <c r="U251" s="113">
        <f t="shared" si="23"/>
        <v>1</v>
      </c>
      <c r="V251" s="113">
        <f t="shared" si="23"/>
        <v>1</v>
      </c>
      <c r="W251" s="113">
        <f t="shared" si="23"/>
        <v>1</v>
      </c>
      <c r="X251" s="113">
        <f t="shared" si="23"/>
        <v>1</v>
      </c>
      <c r="Y251" s="113">
        <f t="shared" si="23"/>
        <v>1</v>
      </c>
      <c r="Z251" s="113">
        <f t="shared" si="23"/>
        <v>1</v>
      </c>
      <c r="AA251" s="113">
        <f t="shared" si="23"/>
        <v>1</v>
      </c>
      <c r="AB251" s="113">
        <f t="shared" si="23"/>
        <v>1</v>
      </c>
      <c r="AC251" s="113">
        <f t="shared" si="23"/>
        <v>1</v>
      </c>
      <c r="AD251" s="113">
        <f t="shared" si="23"/>
        <v>1</v>
      </c>
      <c r="AE251" s="113">
        <f t="shared" si="23"/>
        <v>1</v>
      </c>
      <c r="AF251" s="113">
        <f t="shared" si="23"/>
        <v>1</v>
      </c>
      <c r="AG251" s="113">
        <f t="shared" si="23"/>
        <v>1</v>
      </c>
      <c r="AH251" s="113">
        <f t="shared" si="23"/>
        <v>1</v>
      </c>
      <c r="AI251" s="113">
        <f t="shared" si="23"/>
        <v>1</v>
      </c>
      <c r="AJ251" s="113">
        <f t="shared" si="23"/>
        <v>1</v>
      </c>
      <c r="AK251" s="113">
        <f t="shared" si="23"/>
        <v>1</v>
      </c>
      <c r="AL251" s="113">
        <f t="shared" si="23"/>
        <v>1</v>
      </c>
      <c r="AM251" s="113">
        <f t="shared" si="23"/>
        <v>1</v>
      </c>
      <c r="AN251" s="113">
        <f t="shared" si="23"/>
        <v>1</v>
      </c>
    </row>
    <row r="252" spans="1:40" x14ac:dyDescent="0.25">
      <c r="A252" s="113" t="s">
        <v>1052</v>
      </c>
      <c r="B252" s="113" t="s">
        <v>1438</v>
      </c>
      <c r="C252" s="113" t="s">
        <v>1409</v>
      </c>
      <c r="D252" s="113" t="s">
        <v>1431</v>
      </c>
      <c r="E252" s="113" t="s">
        <v>1433</v>
      </c>
      <c r="F252" s="113" t="s">
        <v>707</v>
      </c>
      <c r="G252" s="113" t="s">
        <v>1101</v>
      </c>
      <c r="H252" s="113" t="s">
        <v>707</v>
      </c>
      <c r="I252" s="620">
        <f>PAMS!F$65</f>
        <v>0</v>
      </c>
      <c r="J252" s="620">
        <f>INDEX(PAMS!$I$53:$Q$60,MATCH($C252,PAMS!$B$53:$B$60,0),MATCH(J$2,PAMS!$I$52:$Q$52,0))</f>
        <v>0</v>
      </c>
      <c r="K252" s="620">
        <f>J252+($M252-$J252)/3</f>
        <v>0</v>
      </c>
      <c r="L252" s="620">
        <f>K252+($M252-$J252)/3</f>
        <v>0</v>
      </c>
      <c r="M252" s="620">
        <f>INDEX(PAMS!$I$53:$Q$60,MATCH($C252,PAMS!$B$53:$B$60,0),MATCH(M$2,PAMS!$I$52:$Q$52,0))</f>
        <v>0</v>
      </c>
      <c r="N252" s="620">
        <f>M252+($R252-$M252)/3</f>
        <v>0</v>
      </c>
      <c r="O252" s="620">
        <f>N252+($R252-$M252)/3</f>
        <v>0</v>
      </c>
      <c r="P252" s="620">
        <f>O252+($R252-$M252)/3</f>
        <v>0</v>
      </c>
      <c r="Q252" s="620">
        <f>P252+($R252-$M252)/3</f>
        <v>0</v>
      </c>
      <c r="R252" s="620">
        <f>INDEX(PAMS!$I$53:$Q$60,MATCH($C252,PAMS!$B$53:$B$60,0),MATCH(R$2,PAMS!$I$52:$Q$52,0))</f>
        <v>0</v>
      </c>
      <c r="S252" s="620">
        <f>R252+($W252-$R252)/4</f>
        <v>0</v>
      </c>
      <c r="T252" s="620">
        <f>S252+($W252-$R252)/4</f>
        <v>0</v>
      </c>
      <c r="U252" s="620">
        <f>T252+($W252-$R252)/4</f>
        <v>0</v>
      </c>
      <c r="V252" s="620">
        <f>U252+($W252-$R252)/4</f>
        <v>0</v>
      </c>
      <c r="W252" s="620">
        <f>INDEX(PAMS!$I$53:$Q$60,MATCH($C252,PAMS!$B$53:$B$60,0),MATCH(W$2,PAMS!$I$52:$Q$52,0))</f>
        <v>0</v>
      </c>
      <c r="X252" s="620">
        <f>W252+($AB252-$W252)/4</f>
        <v>0</v>
      </c>
      <c r="Y252" s="620">
        <f>X252+($AB252-$W252)/4</f>
        <v>0</v>
      </c>
      <c r="Z252" s="620">
        <f>Y252+($AB252-$W252)/4</f>
        <v>0</v>
      </c>
      <c r="AA252" s="620">
        <f>Z252+($AB252-$W252)/4</f>
        <v>0</v>
      </c>
      <c r="AB252" s="620">
        <f>INDEX(PAMS!$I$53:$Q$60,MATCH($C252,PAMS!$B$53:$B$60,0),MATCH(AB$2,PAMS!$I$52:$Q$52,0))</f>
        <v>0</v>
      </c>
      <c r="AC252" s="620">
        <f>AB252+($AG252-$AB252)/4</f>
        <v>0</v>
      </c>
      <c r="AD252" s="620">
        <f>AC252+($AG252-$AB252)/4</f>
        <v>0</v>
      </c>
      <c r="AE252" s="620">
        <f>AD252+($AG252-$AB252)/4</f>
        <v>0</v>
      </c>
      <c r="AF252" s="620">
        <f>AE252+($AG252-$AB252)/4</f>
        <v>0</v>
      </c>
      <c r="AG252" s="620">
        <f>INDEX(PAMS!$I$53:$Q$60,MATCH($C252,PAMS!$B$53:$B$60,0),MATCH(AG$2,PAMS!$I$52:$Q$52,0))</f>
        <v>0</v>
      </c>
      <c r="AH252" s="620">
        <f>AG252+($AM252-$AG252)/4</f>
        <v>0</v>
      </c>
      <c r="AI252" s="620">
        <f>AH252+($AM252-$AG252)/4</f>
        <v>0</v>
      </c>
      <c r="AJ252" s="620">
        <f>AI252+($AM252-$AG252)/4</f>
        <v>0</v>
      </c>
      <c r="AK252" s="620">
        <f>AJ252+($AM252-$AG252)/4</f>
        <v>0</v>
      </c>
      <c r="AL252" s="620">
        <f>INDEX(PAMS!$I$53:$Q$60,MATCH($C252,PAMS!$B$53:$B$60,0),MATCH(AL$2,PAMS!$I$52:$Q$52,0))</f>
        <v>0</v>
      </c>
      <c r="AM252" s="620">
        <f>INDEX(PAMS!$I$53:$Q$60,MATCH($C252,PAMS!$B$53:$B$60,0),MATCH(AM$2,PAMS!$I$52:$Q$52,0))</f>
        <v>0</v>
      </c>
      <c r="AN252" s="620">
        <f>INDEX(PAMS!$I$53:$Q$60,MATCH($C252,PAMS!$B$53:$B$60,0),MATCH(AN$2,PAMS!$I$52:$Q$52,0))</f>
        <v>0</v>
      </c>
    </row>
    <row r="253" spans="1:40" x14ac:dyDescent="0.25">
      <c r="A253" s="113" t="s">
        <v>1052</v>
      </c>
      <c r="B253" s="113" t="s">
        <v>1438</v>
      </c>
      <c r="C253" s="113" t="s">
        <v>1409</v>
      </c>
      <c r="D253" s="113" t="s">
        <v>1431</v>
      </c>
      <c r="E253" s="113" t="s">
        <v>1443</v>
      </c>
      <c r="F253" s="113" t="s">
        <v>707</v>
      </c>
      <c r="G253" s="113" t="s">
        <v>1101</v>
      </c>
      <c r="H253" s="113" t="s">
        <v>707</v>
      </c>
      <c r="I253" s="113">
        <v>0</v>
      </c>
      <c r="J253" s="113">
        <v>1</v>
      </c>
      <c r="K253" s="113">
        <f t="shared" ref="K253:AN253" si="24">J253</f>
        <v>1</v>
      </c>
      <c r="L253" s="113">
        <f t="shared" si="24"/>
        <v>1</v>
      </c>
      <c r="M253" s="113">
        <f t="shared" si="24"/>
        <v>1</v>
      </c>
      <c r="N253" s="113">
        <f t="shared" si="24"/>
        <v>1</v>
      </c>
      <c r="O253" s="113">
        <f t="shared" si="24"/>
        <v>1</v>
      </c>
      <c r="P253" s="113">
        <f t="shared" si="24"/>
        <v>1</v>
      </c>
      <c r="Q253" s="113">
        <f t="shared" si="24"/>
        <v>1</v>
      </c>
      <c r="R253" s="113">
        <f t="shared" si="24"/>
        <v>1</v>
      </c>
      <c r="S253" s="113">
        <f t="shared" si="24"/>
        <v>1</v>
      </c>
      <c r="T253" s="113">
        <f t="shared" si="24"/>
        <v>1</v>
      </c>
      <c r="U253" s="113">
        <f t="shared" si="24"/>
        <v>1</v>
      </c>
      <c r="V253" s="113">
        <f t="shared" si="24"/>
        <v>1</v>
      </c>
      <c r="W253" s="113">
        <f t="shared" si="24"/>
        <v>1</v>
      </c>
      <c r="X253" s="113">
        <f t="shared" si="24"/>
        <v>1</v>
      </c>
      <c r="Y253" s="113">
        <f t="shared" si="24"/>
        <v>1</v>
      </c>
      <c r="Z253" s="113">
        <f t="shared" si="24"/>
        <v>1</v>
      </c>
      <c r="AA253" s="113">
        <f t="shared" si="24"/>
        <v>1</v>
      </c>
      <c r="AB253" s="113">
        <f t="shared" si="24"/>
        <v>1</v>
      </c>
      <c r="AC253" s="113">
        <f t="shared" si="24"/>
        <v>1</v>
      </c>
      <c r="AD253" s="113">
        <f t="shared" si="24"/>
        <v>1</v>
      </c>
      <c r="AE253" s="113">
        <f t="shared" si="24"/>
        <v>1</v>
      </c>
      <c r="AF253" s="113">
        <f t="shared" si="24"/>
        <v>1</v>
      </c>
      <c r="AG253" s="113">
        <f t="shared" si="24"/>
        <v>1</v>
      </c>
      <c r="AH253" s="113">
        <f t="shared" si="24"/>
        <v>1</v>
      </c>
      <c r="AI253" s="113">
        <f t="shared" si="24"/>
        <v>1</v>
      </c>
      <c r="AJ253" s="113">
        <f t="shared" si="24"/>
        <v>1</v>
      </c>
      <c r="AK253" s="113">
        <f t="shared" si="24"/>
        <v>1</v>
      </c>
      <c r="AL253" s="113">
        <f t="shared" si="24"/>
        <v>1</v>
      </c>
      <c r="AM253" s="113">
        <f t="shared" si="24"/>
        <v>1</v>
      </c>
      <c r="AN253" s="113">
        <f t="shared" si="24"/>
        <v>1</v>
      </c>
    </row>
    <row r="254" spans="1:40" x14ac:dyDescent="0.25">
      <c r="A254" s="113" t="s">
        <v>1052</v>
      </c>
      <c r="B254" s="113" t="s">
        <v>1438</v>
      </c>
      <c r="C254" s="113" t="s">
        <v>1407</v>
      </c>
      <c r="D254" s="113" t="s">
        <v>1431</v>
      </c>
      <c r="E254" s="113" t="s">
        <v>1433</v>
      </c>
      <c r="F254" s="113" t="s">
        <v>707</v>
      </c>
      <c r="G254" s="113" t="s">
        <v>1101</v>
      </c>
      <c r="H254" s="113" t="s">
        <v>707</v>
      </c>
      <c r="I254" s="620">
        <f>PAMS!F$65</f>
        <v>0</v>
      </c>
      <c r="J254" s="620">
        <f>INDEX(PAMS!$I$53:$Q$60,MATCH($C254,PAMS!$B$53:$B$60,0),MATCH(J$2,PAMS!$I$52:$Q$52,0))</f>
        <v>0</v>
      </c>
      <c r="K254" s="620">
        <f>J254+($M254-$J254)/3</f>
        <v>0</v>
      </c>
      <c r="L254" s="620">
        <f>K254+($M254-$J254)/3</f>
        <v>0</v>
      </c>
      <c r="M254" s="620">
        <f>INDEX(PAMS!$I$53:$Q$60,MATCH($C254,PAMS!$B$53:$B$60,0),MATCH(M$2,PAMS!$I$52:$Q$52,0))</f>
        <v>0</v>
      </c>
      <c r="N254" s="620">
        <f>M254+($R254-$M254)/3</f>
        <v>0</v>
      </c>
      <c r="O254" s="620">
        <f>N254+($R254-$M254)/3</f>
        <v>0</v>
      </c>
      <c r="P254" s="620">
        <f>O254+($R254-$M254)/3</f>
        <v>0</v>
      </c>
      <c r="Q254" s="620">
        <f>P254+($R254-$M254)/3</f>
        <v>0</v>
      </c>
      <c r="R254" s="620">
        <f>INDEX(PAMS!$I$53:$Q$60,MATCH($C254,PAMS!$B$53:$B$60,0),MATCH(R$2,PAMS!$I$52:$Q$52,0))</f>
        <v>0</v>
      </c>
      <c r="S254" s="620">
        <f>R254+($W254-$R254)/4</f>
        <v>0</v>
      </c>
      <c r="T254" s="620">
        <f>S254+($W254-$R254)/4</f>
        <v>0</v>
      </c>
      <c r="U254" s="620">
        <f>T254+($W254-$R254)/4</f>
        <v>0</v>
      </c>
      <c r="V254" s="620">
        <f>U254+($W254-$R254)/4</f>
        <v>0</v>
      </c>
      <c r="W254" s="620">
        <f>INDEX(PAMS!$I$53:$Q$60,MATCH($C254,PAMS!$B$53:$B$60,0),MATCH(W$2,PAMS!$I$52:$Q$52,0))</f>
        <v>0</v>
      </c>
      <c r="X254" s="620">
        <f>W254+($AB254-$W254)/4</f>
        <v>0</v>
      </c>
      <c r="Y254" s="620">
        <f>X254+($AB254-$W254)/4</f>
        <v>0</v>
      </c>
      <c r="Z254" s="620">
        <f>Y254+($AB254-$W254)/4</f>
        <v>0</v>
      </c>
      <c r="AA254" s="620">
        <f>Z254+($AB254-$W254)/4</f>
        <v>0</v>
      </c>
      <c r="AB254" s="620">
        <f>INDEX(PAMS!$I$53:$Q$60,MATCH($C254,PAMS!$B$53:$B$60,0),MATCH(AB$2,PAMS!$I$52:$Q$52,0))</f>
        <v>0</v>
      </c>
      <c r="AC254" s="620">
        <f>AB254+($AG254-$AB254)/4</f>
        <v>0</v>
      </c>
      <c r="AD254" s="620">
        <f>AC254+($AG254-$AB254)/4</f>
        <v>0</v>
      </c>
      <c r="AE254" s="620">
        <f>AD254+($AG254-$AB254)/4</f>
        <v>0</v>
      </c>
      <c r="AF254" s="620">
        <f>AE254+($AG254-$AB254)/4</f>
        <v>0</v>
      </c>
      <c r="AG254" s="620">
        <f>INDEX(PAMS!$I$53:$Q$60,MATCH($C254,PAMS!$B$53:$B$60,0),MATCH(AG$2,PAMS!$I$52:$Q$52,0))</f>
        <v>0</v>
      </c>
      <c r="AH254" s="620">
        <f>AG254+($AM254-$AG254)/4</f>
        <v>0</v>
      </c>
      <c r="AI254" s="620">
        <f>AH254+($AM254-$AG254)/4</f>
        <v>0</v>
      </c>
      <c r="AJ254" s="620">
        <f>AI254+($AM254-$AG254)/4</f>
        <v>0</v>
      </c>
      <c r="AK254" s="620">
        <f>AJ254+($AM254-$AG254)/4</f>
        <v>0</v>
      </c>
      <c r="AL254" s="620">
        <f>INDEX(PAMS!$I$53:$Q$60,MATCH($C254,PAMS!$B$53:$B$60,0),MATCH(AL$2,PAMS!$I$52:$Q$52,0))</f>
        <v>0</v>
      </c>
      <c r="AM254" s="620">
        <f>INDEX(PAMS!$I$53:$Q$60,MATCH($C254,PAMS!$B$53:$B$60,0),MATCH(AM$2,PAMS!$I$52:$Q$52,0))</f>
        <v>0</v>
      </c>
      <c r="AN254" s="620">
        <f>INDEX(PAMS!$I$53:$Q$60,MATCH($C254,PAMS!$B$53:$B$60,0),MATCH(AN$2,PAMS!$I$52:$Q$52,0))</f>
        <v>0</v>
      </c>
    </row>
    <row r="255" spans="1:40" x14ac:dyDescent="0.25">
      <c r="A255" s="113" t="s">
        <v>1052</v>
      </c>
      <c r="B255" s="113" t="s">
        <v>1438</v>
      </c>
      <c r="C255" s="113" t="s">
        <v>1407</v>
      </c>
      <c r="D255" s="113" t="s">
        <v>1431</v>
      </c>
      <c r="E255" s="113" t="s">
        <v>1442</v>
      </c>
      <c r="F255" s="113" t="s">
        <v>707</v>
      </c>
      <c r="G255" s="113" t="s">
        <v>1101</v>
      </c>
      <c r="H255" s="113" t="s">
        <v>707</v>
      </c>
      <c r="I255" s="113">
        <v>0</v>
      </c>
      <c r="J255" s="113">
        <v>1</v>
      </c>
      <c r="K255" s="113">
        <f t="shared" ref="K255:AN255" si="25">J255</f>
        <v>1</v>
      </c>
      <c r="L255" s="113">
        <f t="shared" si="25"/>
        <v>1</v>
      </c>
      <c r="M255" s="113">
        <f t="shared" si="25"/>
        <v>1</v>
      </c>
      <c r="N255" s="113">
        <f t="shared" si="25"/>
        <v>1</v>
      </c>
      <c r="O255" s="113">
        <f t="shared" si="25"/>
        <v>1</v>
      </c>
      <c r="P255" s="113">
        <f t="shared" si="25"/>
        <v>1</v>
      </c>
      <c r="Q255" s="113">
        <f t="shared" si="25"/>
        <v>1</v>
      </c>
      <c r="R255" s="113">
        <f t="shared" si="25"/>
        <v>1</v>
      </c>
      <c r="S255" s="113">
        <f t="shared" si="25"/>
        <v>1</v>
      </c>
      <c r="T255" s="113">
        <f t="shared" si="25"/>
        <v>1</v>
      </c>
      <c r="U255" s="113">
        <f t="shared" si="25"/>
        <v>1</v>
      </c>
      <c r="V255" s="113">
        <f t="shared" si="25"/>
        <v>1</v>
      </c>
      <c r="W255" s="113">
        <f t="shared" si="25"/>
        <v>1</v>
      </c>
      <c r="X255" s="113">
        <f t="shared" si="25"/>
        <v>1</v>
      </c>
      <c r="Y255" s="113">
        <f t="shared" si="25"/>
        <v>1</v>
      </c>
      <c r="Z255" s="113">
        <f t="shared" si="25"/>
        <v>1</v>
      </c>
      <c r="AA255" s="113">
        <f t="shared" si="25"/>
        <v>1</v>
      </c>
      <c r="AB255" s="113">
        <f t="shared" si="25"/>
        <v>1</v>
      </c>
      <c r="AC255" s="113">
        <f t="shared" si="25"/>
        <v>1</v>
      </c>
      <c r="AD255" s="113">
        <f t="shared" si="25"/>
        <v>1</v>
      </c>
      <c r="AE255" s="113">
        <f t="shared" si="25"/>
        <v>1</v>
      </c>
      <c r="AF255" s="113">
        <f t="shared" si="25"/>
        <v>1</v>
      </c>
      <c r="AG255" s="113">
        <f t="shared" si="25"/>
        <v>1</v>
      </c>
      <c r="AH255" s="113">
        <f t="shared" si="25"/>
        <v>1</v>
      </c>
      <c r="AI255" s="113">
        <f t="shared" si="25"/>
        <v>1</v>
      </c>
      <c r="AJ255" s="113">
        <f t="shared" si="25"/>
        <v>1</v>
      </c>
      <c r="AK255" s="113">
        <f t="shared" si="25"/>
        <v>1</v>
      </c>
      <c r="AL255" s="113">
        <f t="shared" si="25"/>
        <v>1</v>
      </c>
      <c r="AM255" s="113">
        <f t="shared" si="25"/>
        <v>1</v>
      </c>
      <c r="AN255" s="113">
        <f t="shared" si="25"/>
        <v>1</v>
      </c>
    </row>
    <row r="256" spans="1:40" x14ac:dyDescent="0.25">
      <c r="B256" s="113" t="s">
        <v>1438</v>
      </c>
      <c r="C256" s="113" t="s">
        <v>1403</v>
      </c>
      <c r="D256" s="113" t="s">
        <v>1431</v>
      </c>
      <c r="E256" s="113" t="s">
        <v>1441</v>
      </c>
      <c r="F256" s="113" t="s">
        <v>707</v>
      </c>
      <c r="G256" s="113" t="s">
        <v>1101</v>
      </c>
      <c r="H256" s="113" t="s">
        <v>707</v>
      </c>
      <c r="I256" s="113">
        <v>0</v>
      </c>
      <c r="J256" s="621" t="str">
        <f>'Iron &amp; Steel'!AF31</f>
        <v>-0.126</v>
      </c>
      <c r="K256" s="620" t="str">
        <f>'Iron &amp; Steel'!AG31</f>
        <v>-0.126</v>
      </c>
      <c r="L256" s="620" t="str">
        <f>'Iron &amp; Steel'!AH31</f>
        <v>-0.126</v>
      </c>
      <c r="M256" s="620" t="str">
        <f>'Iron &amp; Steel'!AI31</f>
        <v>-0.217</v>
      </c>
      <c r="N256" s="620" t="str">
        <f>'Iron &amp; Steel'!AJ31</f>
        <v>-0.221</v>
      </c>
      <c r="O256" s="620" t="str">
        <f>'Iron &amp; Steel'!AK31</f>
        <v>-0.216</v>
      </c>
      <c r="P256" s="620" t="str">
        <f>'Iron &amp; Steel'!AL31</f>
        <v>-0.196</v>
      </c>
      <c r="Q256" s="620" t="str">
        <f>'Iron &amp; Steel'!AM31</f>
        <v>-0.201</v>
      </c>
      <c r="R256" s="620" t="str">
        <f>'Iron &amp; Steel'!AN31</f>
        <v>-0.246</v>
      </c>
      <c r="S256" s="113">
        <f>R256+($W256-$R256)/4</f>
        <v>-0.25275000000000003</v>
      </c>
      <c r="T256" s="113">
        <f>S256+($W256-$R256)/4</f>
        <v>-0.25950000000000006</v>
      </c>
      <c r="U256" s="113">
        <f>T256+($W256-$R256)/4</f>
        <v>-0.2662500000000001</v>
      </c>
      <c r="V256" s="113">
        <f>U256+($W256-$R256)/4</f>
        <v>-0.27300000000000013</v>
      </c>
      <c r="W256" s="622">
        <f>IF(wastePAM,(R256+(AB256-R256)/2)*(1+'[2]PAMS central control panel'!F274),(R256+(AB256-R256)/2))</f>
        <v>-0.27300000000000002</v>
      </c>
      <c r="X256" s="113">
        <f>W256+($AB256-$W256)/4</f>
        <v>-0.27975</v>
      </c>
      <c r="Y256" s="113">
        <f>X256+($AB256-$W256)/4</f>
        <v>-0.28649999999999998</v>
      </c>
      <c r="Z256" s="113">
        <f>Y256+($AB256-$W256)/4</f>
        <v>-0.29324999999999996</v>
      </c>
      <c r="AA256" s="113">
        <f>Z256+($AB256-$W256)/4</f>
        <v>-0.29999999999999993</v>
      </c>
      <c r="AB256" s="113">
        <f>IF(wastePAM,'Iron &amp; Steel'!$D$150*(1+'[2]PAMS central control panel'!G283),'Iron &amp; Steel'!$D$150)</f>
        <v>-0.3</v>
      </c>
      <c r="AC256" s="113">
        <f>AB256+($AG256-$AB256)/4</f>
        <v>-0.3</v>
      </c>
      <c r="AD256" s="113">
        <f>AC256+($AG256-$AB256)/4</f>
        <v>-0.3</v>
      </c>
      <c r="AE256" s="113">
        <f>AD256+($AG256-$AB256)/4</f>
        <v>-0.3</v>
      </c>
      <c r="AF256" s="113">
        <f>AE256+($AG256-$AB256)/4</f>
        <v>-0.3</v>
      </c>
      <c r="AG256" s="113">
        <f>IF(wastePAM,'Iron &amp; Steel'!$D$150*(1+'[2]PAMS central control panel'!H283),'Iron &amp; Steel'!$D$150)</f>
        <v>-0.3</v>
      </c>
      <c r="AH256" s="113">
        <f>AG256+($AM256-$AG256)/4</f>
        <v>-0.3</v>
      </c>
      <c r="AI256" s="113">
        <f>AH256+($AM256-$AG256)/4</f>
        <v>-0.3</v>
      </c>
      <c r="AJ256" s="113">
        <f>AI256+($AM256-$AG256)/4</f>
        <v>-0.3</v>
      </c>
      <c r="AK256" s="113">
        <f>AJ256+($AM256-$AG256)/4</f>
        <v>-0.3</v>
      </c>
      <c r="AL256" s="622">
        <f>IF(wastePAM,'Iron &amp; Steel'!$D$150*(1+'[2]PAMS central control panel'!I283),'Iron &amp; Steel'!$D$150)</f>
        <v>-0.3</v>
      </c>
      <c r="AM256" s="622">
        <f>IF(wastePAM,'Iron &amp; Steel'!$D$150*(1+'[2]PAMS central control panel'!J283),'Iron &amp; Steel'!$D$150)</f>
        <v>-0.3</v>
      </c>
      <c r="AN256" s="622">
        <f>IF(wastePAM,'Iron &amp; Steel'!$D$150*(1+'[2]PAMS central control panel'!K283),'Iron &amp; Steel'!$D$150)</f>
        <v>-0.3</v>
      </c>
    </row>
    <row r="257" spans="1:40" x14ac:dyDescent="0.25">
      <c r="B257" s="113" t="s">
        <v>1438</v>
      </c>
      <c r="C257" s="113" t="s">
        <v>1403</v>
      </c>
      <c r="D257" s="113" t="s">
        <v>1431</v>
      </c>
      <c r="E257" s="113" t="s">
        <v>1440</v>
      </c>
      <c r="F257" s="113" t="s">
        <v>707</v>
      </c>
      <c r="G257" s="113" t="s">
        <v>1101</v>
      </c>
      <c r="H257" s="113" t="s">
        <v>707</v>
      </c>
      <c r="I257" s="113">
        <v>0</v>
      </c>
      <c r="J257" s="113">
        <v>1</v>
      </c>
      <c r="K257" s="113">
        <f t="shared" ref="K257:AN257" si="26">J257</f>
        <v>1</v>
      </c>
      <c r="L257" s="113">
        <f t="shared" si="26"/>
        <v>1</v>
      </c>
      <c r="M257" s="113">
        <f t="shared" si="26"/>
        <v>1</v>
      </c>
      <c r="N257" s="113">
        <f t="shared" si="26"/>
        <v>1</v>
      </c>
      <c r="O257" s="113">
        <f t="shared" si="26"/>
        <v>1</v>
      </c>
      <c r="P257" s="113">
        <f t="shared" si="26"/>
        <v>1</v>
      </c>
      <c r="Q257" s="113">
        <f t="shared" si="26"/>
        <v>1</v>
      </c>
      <c r="R257" s="113">
        <f t="shared" si="26"/>
        <v>1</v>
      </c>
      <c r="S257" s="113">
        <f t="shared" si="26"/>
        <v>1</v>
      </c>
      <c r="T257" s="113">
        <f t="shared" si="26"/>
        <v>1</v>
      </c>
      <c r="U257" s="113">
        <f t="shared" si="26"/>
        <v>1</v>
      </c>
      <c r="V257" s="113">
        <f t="shared" si="26"/>
        <v>1</v>
      </c>
      <c r="W257" s="113">
        <f t="shared" si="26"/>
        <v>1</v>
      </c>
      <c r="X257" s="113">
        <f t="shared" si="26"/>
        <v>1</v>
      </c>
      <c r="Y257" s="113">
        <f t="shared" si="26"/>
        <v>1</v>
      </c>
      <c r="Z257" s="113">
        <f t="shared" si="26"/>
        <v>1</v>
      </c>
      <c r="AA257" s="113">
        <f t="shared" si="26"/>
        <v>1</v>
      </c>
      <c r="AB257" s="113">
        <f t="shared" si="26"/>
        <v>1</v>
      </c>
      <c r="AC257" s="113">
        <f t="shared" si="26"/>
        <v>1</v>
      </c>
      <c r="AD257" s="113">
        <f t="shared" si="26"/>
        <v>1</v>
      </c>
      <c r="AE257" s="113">
        <f t="shared" si="26"/>
        <v>1</v>
      </c>
      <c r="AF257" s="113">
        <f t="shared" si="26"/>
        <v>1</v>
      </c>
      <c r="AG257" s="113">
        <f t="shared" si="26"/>
        <v>1</v>
      </c>
      <c r="AH257" s="113">
        <f t="shared" si="26"/>
        <v>1</v>
      </c>
      <c r="AI257" s="113">
        <f t="shared" si="26"/>
        <v>1</v>
      </c>
      <c r="AJ257" s="113">
        <f t="shared" si="26"/>
        <v>1</v>
      </c>
      <c r="AK257" s="113">
        <f t="shared" si="26"/>
        <v>1</v>
      </c>
      <c r="AL257" s="113">
        <f t="shared" si="26"/>
        <v>1</v>
      </c>
      <c r="AM257" s="113">
        <f t="shared" si="26"/>
        <v>1</v>
      </c>
      <c r="AN257" s="113">
        <f t="shared" si="26"/>
        <v>1</v>
      </c>
    </row>
    <row r="258" spans="1:40" x14ac:dyDescent="0.25">
      <c r="B258" s="113" t="s">
        <v>1438</v>
      </c>
      <c r="C258" s="113" t="s">
        <v>1401</v>
      </c>
      <c r="D258" s="113" t="s">
        <v>1431</v>
      </c>
      <c r="E258" s="113" t="s">
        <v>1441</v>
      </c>
      <c r="F258" s="113" t="s">
        <v>707</v>
      </c>
      <c r="G258" s="113" t="s">
        <v>1101</v>
      </c>
      <c r="H258" s="113" t="s">
        <v>707</v>
      </c>
      <c r="I258" s="113">
        <v>0</v>
      </c>
      <c r="J258" s="621" t="str">
        <f>'Iron &amp; Steel'!AF32</f>
        <v>-0.121</v>
      </c>
      <c r="K258" s="621" t="str">
        <f>'Iron &amp; Steel'!AG32</f>
        <v>-0.121</v>
      </c>
      <c r="L258" s="621" t="str">
        <f>'Iron &amp; Steel'!AH32</f>
        <v>-0.121</v>
      </c>
      <c r="M258" s="621" t="str">
        <f>'Iron &amp; Steel'!AI32</f>
        <v>-0.209</v>
      </c>
      <c r="N258" s="621" t="str">
        <f>'Iron &amp; Steel'!AJ32</f>
        <v>-0.212</v>
      </c>
      <c r="O258" s="621" t="str">
        <f>'Iron &amp; Steel'!AK32</f>
        <v>-0.208</v>
      </c>
      <c r="P258" s="621" t="str">
        <f>'Iron &amp; Steel'!AL32</f>
        <v>-0.188</v>
      </c>
      <c r="Q258" s="621" t="str">
        <f>'Iron &amp; Steel'!AM32</f>
        <v>-0.193</v>
      </c>
      <c r="R258" s="621" t="str">
        <f>'Iron &amp; Steel'!AN32</f>
        <v>-0.237</v>
      </c>
      <c r="S258" s="113" t="str">
        <f t="shared" ref="S258:AN258" si="27">R258</f>
        <v>-0.237</v>
      </c>
      <c r="T258" s="113" t="str">
        <f t="shared" si="27"/>
        <v>-0.237</v>
      </c>
      <c r="U258" s="113" t="str">
        <f t="shared" si="27"/>
        <v>-0.237</v>
      </c>
      <c r="V258" s="113" t="str">
        <f t="shared" si="27"/>
        <v>-0.237</v>
      </c>
      <c r="W258" s="113" t="str">
        <f t="shared" si="27"/>
        <v>-0.237</v>
      </c>
      <c r="X258" s="113" t="str">
        <f t="shared" si="27"/>
        <v>-0.237</v>
      </c>
      <c r="Y258" s="113" t="str">
        <f t="shared" si="27"/>
        <v>-0.237</v>
      </c>
      <c r="Z258" s="113" t="str">
        <f t="shared" si="27"/>
        <v>-0.237</v>
      </c>
      <c r="AA258" s="113" t="str">
        <f t="shared" si="27"/>
        <v>-0.237</v>
      </c>
      <c r="AB258" s="113" t="str">
        <f t="shared" si="27"/>
        <v>-0.237</v>
      </c>
      <c r="AC258" s="113" t="str">
        <f t="shared" si="27"/>
        <v>-0.237</v>
      </c>
      <c r="AD258" s="113" t="str">
        <f t="shared" si="27"/>
        <v>-0.237</v>
      </c>
      <c r="AE258" s="113" t="str">
        <f t="shared" si="27"/>
        <v>-0.237</v>
      </c>
      <c r="AF258" s="113" t="str">
        <f t="shared" si="27"/>
        <v>-0.237</v>
      </c>
      <c r="AG258" s="113" t="str">
        <f t="shared" si="27"/>
        <v>-0.237</v>
      </c>
      <c r="AH258" s="113" t="str">
        <f t="shared" si="27"/>
        <v>-0.237</v>
      </c>
      <c r="AI258" s="113" t="str">
        <f t="shared" si="27"/>
        <v>-0.237</v>
      </c>
      <c r="AJ258" s="113" t="str">
        <f t="shared" si="27"/>
        <v>-0.237</v>
      </c>
      <c r="AK258" s="113" t="str">
        <f t="shared" si="27"/>
        <v>-0.237</v>
      </c>
      <c r="AL258" s="113" t="str">
        <f t="shared" si="27"/>
        <v>-0.237</v>
      </c>
      <c r="AM258" s="113" t="str">
        <f t="shared" si="27"/>
        <v>-0.237</v>
      </c>
      <c r="AN258" s="113" t="str">
        <f t="shared" si="27"/>
        <v>-0.237</v>
      </c>
    </row>
    <row r="259" spans="1:40" x14ac:dyDescent="0.25">
      <c r="B259" s="113" t="s">
        <v>1438</v>
      </c>
      <c r="C259" s="113" t="s">
        <v>1401</v>
      </c>
      <c r="D259" s="113" t="s">
        <v>1431</v>
      </c>
      <c r="E259" s="113" t="s">
        <v>1440</v>
      </c>
      <c r="F259" s="113" t="s">
        <v>707</v>
      </c>
      <c r="G259" s="113" t="s">
        <v>1101</v>
      </c>
      <c r="H259" s="113" t="s">
        <v>707</v>
      </c>
      <c r="I259" s="113">
        <v>0</v>
      </c>
      <c r="J259" s="113">
        <v>1</v>
      </c>
      <c r="K259" s="113">
        <f t="shared" ref="K259:R259" si="28">J259</f>
        <v>1</v>
      </c>
      <c r="L259" s="113">
        <f t="shared" si="28"/>
        <v>1</v>
      </c>
      <c r="M259" s="113">
        <f t="shared" si="28"/>
        <v>1</v>
      </c>
      <c r="N259" s="113">
        <f t="shared" si="28"/>
        <v>1</v>
      </c>
      <c r="O259" s="113">
        <f t="shared" si="28"/>
        <v>1</v>
      </c>
      <c r="P259" s="113">
        <f t="shared" si="28"/>
        <v>1</v>
      </c>
      <c r="Q259" s="113">
        <f t="shared" si="28"/>
        <v>1</v>
      </c>
      <c r="R259" s="113">
        <f t="shared" si="28"/>
        <v>1</v>
      </c>
      <c r="S259" s="113">
        <f t="shared" ref="S259:AN259" si="29">R259</f>
        <v>1</v>
      </c>
      <c r="T259" s="113">
        <f t="shared" si="29"/>
        <v>1</v>
      </c>
      <c r="U259" s="113">
        <f t="shared" si="29"/>
        <v>1</v>
      </c>
      <c r="V259" s="113">
        <f t="shared" si="29"/>
        <v>1</v>
      </c>
      <c r="W259" s="113">
        <f t="shared" si="29"/>
        <v>1</v>
      </c>
      <c r="X259" s="113">
        <f t="shared" si="29"/>
        <v>1</v>
      </c>
      <c r="Y259" s="113">
        <f t="shared" si="29"/>
        <v>1</v>
      </c>
      <c r="Z259" s="113">
        <f t="shared" si="29"/>
        <v>1</v>
      </c>
      <c r="AA259" s="113">
        <f t="shared" si="29"/>
        <v>1</v>
      </c>
      <c r="AB259" s="113">
        <f t="shared" si="29"/>
        <v>1</v>
      </c>
      <c r="AC259" s="113">
        <f t="shared" si="29"/>
        <v>1</v>
      </c>
      <c r="AD259" s="113">
        <f t="shared" si="29"/>
        <v>1</v>
      </c>
      <c r="AE259" s="113">
        <f t="shared" si="29"/>
        <v>1</v>
      </c>
      <c r="AF259" s="113">
        <f t="shared" si="29"/>
        <v>1</v>
      </c>
      <c r="AG259" s="113">
        <f t="shared" si="29"/>
        <v>1</v>
      </c>
      <c r="AH259" s="113">
        <f t="shared" si="29"/>
        <v>1</v>
      </c>
      <c r="AI259" s="113">
        <f t="shared" si="29"/>
        <v>1</v>
      </c>
      <c r="AJ259" s="113">
        <f t="shared" si="29"/>
        <v>1</v>
      </c>
      <c r="AK259" s="113">
        <f t="shared" si="29"/>
        <v>1</v>
      </c>
      <c r="AL259" s="113">
        <f t="shared" si="29"/>
        <v>1</v>
      </c>
      <c r="AM259" s="113">
        <f t="shared" si="29"/>
        <v>1</v>
      </c>
      <c r="AN259" s="113">
        <f t="shared" si="29"/>
        <v>1</v>
      </c>
    </row>
    <row r="260" spans="1:40" x14ac:dyDescent="0.25">
      <c r="A260" s="113" t="s">
        <v>1052</v>
      </c>
      <c r="B260" s="113" t="s">
        <v>1438</v>
      </c>
      <c r="C260" s="113" t="s">
        <v>1399</v>
      </c>
      <c r="D260" s="113" t="s">
        <v>1431</v>
      </c>
      <c r="E260" s="113" t="s">
        <v>1430</v>
      </c>
      <c r="F260" s="113" t="s">
        <v>707</v>
      </c>
      <c r="G260" s="113" t="s">
        <v>1101</v>
      </c>
      <c r="H260" s="113" t="s">
        <v>707</v>
      </c>
      <c r="I260" s="620">
        <f>PAMS!F$65</f>
        <v>0</v>
      </c>
      <c r="J260" s="620">
        <f>INDEX(PAMS!$I$53:$Q$62,MATCH($C260,PAMS!$B$53:$B$62,0),MATCH(J$2,PAMS!$I$52:$Q$52,0))</f>
        <v>0</v>
      </c>
      <c r="K260" s="620">
        <f>J260+($M260-$J260)/3</f>
        <v>0</v>
      </c>
      <c r="L260" s="620">
        <f>K260+($M260-$J260)/3</f>
        <v>0</v>
      </c>
      <c r="M260" s="620">
        <f>INDEX(PAMS!$I$53:$Q$62,MATCH($C260,PAMS!$B$53:$B$62,0),MATCH(M$2,PAMS!$I$52:$Q$52,0))</f>
        <v>0</v>
      </c>
      <c r="N260" s="620">
        <f>M260+($R260-$M260)/3</f>
        <v>0</v>
      </c>
      <c r="O260" s="620">
        <f>N260+($R260-$M260)/3</f>
        <v>0</v>
      </c>
      <c r="P260" s="620">
        <f>O260+($R260-$M260)/3</f>
        <v>0</v>
      </c>
      <c r="Q260" s="620">
        <f>P260+($R260-$M260)/3</f>
        <v>0</v>
      </c>
      <c r="R260" s="620">
        <f>INDEX(PAMS!$I$53:$Q$62,MATCH($C260,PAMS!$B$53:$B$62,0),MATCH(R$2,PAMS!$I$52:$Q$52,0))</f>
        <v>0</v>
      </c>
      <c r="S260" s="620">
        <f>R260+($W260-$R260)/4</f>
        <v>0</v>
      </c>
      <c r="T260" s="620">
        <f>S260+($W260-$R260)/4</f>
        <v>0</v>
      </c>
      <c r="U260" s="620">
        <f>T260+($W260-$R260)/4</f>
        <v>0</v>
      </c>
      <c r="V260" s="620">
        <f>U260+($W260-$R260)/4</f>
        <v>0</v>
      </c>
      <c r="W260" s="620">
        <f>INDEX(PAMS!$I$53:$Q$62,MATCH($C260,PAMS!$B$53:$B$62,0),MATCH(W$2,PAMS!$I$52:$Q$52,0))</f>
        <v>0</v>
      </c>
      <c r="X260" s="620">
        <f>W260+($AB260-$W260)/4</f>
        <v>0</v>
      </c>
      <c r="Y260" s="620">
        <f>X260+($AB260-$W260)/4</f>
        <v>0</v>
      </c>
      <c r="Z260" s="620">
        <f>Y260+($AB260-$W260)/4</f>
        <v>0</v>
      </c>
      <c r="AA260" s="620">
        <f>Z260+($AB260-$W260)/4</f>
        <v>0</v>
      </c>
      <c r="AB260" s="620">
        <f>INDEX(PAMS!$I$53:$Q$62,MATCH($C260,PAMS!$B$53:$B$62,0),MATCH(AB$2,PAMS!$I$52:$Q$52,0))</f>
        <v>0</v>
      </c>
      <c r="AC260" s="620">
        <f>AB260+($AG260-$AB260)/4</f>
        <v>0</v>
      </c>
      <c r="AD260" s="620">
        <f>AC260+($AG260-$AB260)/4</f>
        <v>0</v>
      </c>
      <c r="AE260" s="620">
        <f>AD260+($AG260-$AB260)/4</f>
        <v>0</v>
      </c>
      <c r="AF260" s="620">
        <f>AE260+($AG260-$AB260)/4</f>
        <v>0</v>
      </c>
      <c r="AG260" s="620">
        <f>INDEX(PAMS!$I$53:$Q$62,MATCH($C260,PAMS!$B$53:$B$62,0),MATCH(AG$2,PAMS!$I$52:$Q$52,0))</f>
        <v>0</v>
      </c>
      <c r="AH260" s="620">
        <f>AG260+($AM260-$AG260)/4</f>
        <v>0</v>
      </c>
      <c r="AI260" s="620">
        <f>AH260+($AM260-$AG260)/4</f>
        <v>0</v>
      </c>
      <c r="AJ260" s="620">
        <f>AI260+($AM260-$AG260)/4</f>
        <v>0</v>
      </c>
      <c r="AK260" s="620">
        <f>AJ260+($AM260-$AG260)/4</f>
        <v>0</v>
      </c>
      <c r="AL260" s="620">
        <f>INDEX(PAMS!$I$53:$Q$62,MATCH($C260,PAMS!$B$53:$B$62,0),MATCH(AL$2,PAMS!$I$52:$Q$52,0))</f>
        <v>0</v>
      </c>
      <c r="AM260" s="620">
        <f>INDEX(PAMS!$I$53:$Q$62,MATCH($C260,PAMS!$B$53:$B$62,0),MATCH(AM$2,PAMS!$I$52:$Q$52,0))</f>
        <v>0</v>
      </c>
      <c r="AN260" s="620">
        <f>INDEX(PAMS!$I$53:$Q$62,MATCH($C260,PAMS!$B$53:$B$62,0),MATCH(AN$2,PAMS!$I$52:$Q$52,0))</f>
        <v>0</v>
      </c>
    </row>
    <row r="261" spans="1:40" x14ac:dyDescent="0.25">
      <c r="A261" s="113" t="s">
        <v>1052</v>
      </c>
      <c r="B261" s="113" t="s">
        <v>1438</v>
      </c>
      <c r="C261" s="113" t="s">
        <v>1399</v>
      </c>
      <c r="D261" s="113" t="s">
        <v>1431</v>
      </c>
      <c r="E261" s="113" t="s">
        <v>1439</v>
      </c>
      <c r="F261" s="113" t="s">
        <v>707</v>
      </c>
      <c r="G261" s="113" t="s">
        <v>1101</v>
      </c>
      <c r="H261" s="113" t="s">
        <v>707</v>
      </c>
      <c r="I261" s="113">
        <v>0</v>
      </c>
      <c r="J261" s="113">
        <v>1</v>
      </c>
      <c r="K261" s="113">
        <f t="shared" ref="K261:AN261" si="30">J261</f>
        <v>1</v>
      </c>
      <c r="L261" s="113">
        <f t="shared" si="30"/>
        <v>1</v>
      </c>
      <c r="M261" s="113">
        <f t="shared" si="30"/>
        <v>1</v>
      </c>
      <c r="N261" s="113">
        <f t="shared" si="30"/>
        <v>1</v>
      </c>
      <c r="O261" s="113">
        <f t="shared" si="30"/>
        <v>1</v>
      </c>
      <c r="P261" s="113">
        <f t="shared" si="30"/>
        <v>1</v>
      </c>
      <c r="Q261" s="113">
        <f t="shared" si="30"/>
        <v>1</v>
      </c>
      <c r="R261" s="113">
        <f t="shared" si="30"/>
        <v>1</v>
      </c>
      <c r="S261" s="113">
        <f t="shared" si="30"/>
        <v>1</v>
      </c>
      <c r="T261" s="113">
        <f t="shared" si="30"/>
        <v>1</v>
      </c>
      <c r="U261" s="113">
        <f t="shared" si="30"/>
        <v>1</v>
      </c>
      <c r="V261" s="113">
        <f t="shared" si="30"/>
        <v>1</v>
      </c>
      <c r="W261" s="113">
        <f t="shared" si="30"/>
        <v>1</v>
      </c>
      <c r="X261" s="113">
        <f t="shared" si="30"/>
        <v>1</v>
      </c>
      <c r="Y261" s="113">
        <f t="shared" si="30"/>
        <v>1</v>
      </c>
      <c r="Z261" s="113">
        <f t="shared" si="30"/>
        <v>1</v>
      </c>
      <c r="AA261" s="113">
        <f t="shared" si="30"/>
        <v>1</v>
      </c>
      <c r="AB261" s="113">
        <f t="shared" si="30"/>
        <v>1</v>
      </c>
      <c r="AC261" s="113">
        <f t="shared" si="30"/>
        <v>1</v>
      </c>
      <c r="AD261" s="113">
        <f t="shared" si="30"/>
        <v>1</v>
      </c>
      <c r="AE261" s="113">
        <f t="shared" si="30"/>
        <v>1</v>
      </c>
      <c r="AF261" s="113">
        <f t="shared" si="30"/>
        <v>1</v>
      </c>
      <c r="AG261" s="113">
        <f t="shared" si="30"/>
        <v>1</v>
      </c>
      <c r="AH261" s="113">
        <f t="shared" si="30"/>
        <v>1</v>
      </c>
      <c r="AI261" s="113">
        <f t="shared" si="30"/>
        <v>1</v>
      </c>
      <c r="AJ261" s="113">
        <f t="shared" si="30"/>
        <v>1</v>
      </c>
      <c r="AK261" s="113">
        <f t="shared" si="30"/>
        <v>1</v>
      </c>
      <c r="AL261" s="113">
        <f t="shared" si="30"/>
        <v>1</v>
      </c>
      <c r="AM261" s="113">
        <f t="shared" si="30"/>
        <v>1</v>
      </c>
      <c r="AN261" s="113">
        <f t="shared" si="30"/>
        <v>1</v>
      </c>
    </row>
    <row r="262" spans="1:40" x14ac:dyDescent="0.25">
      <c r="A262" s="113" t="s">
        <v>1052</v>
      </c>
      <c r="B262" s="113" t="s">
        <v>1438</v>
      </c>
      <c r="C262" s="113" t="s">
        <v>1396</v>
      </c>
      <c r="D262" s="113" t="s">
        <v>1431</v>
      </c>
      <c r="E262" s="113" t="s">
        <v>1430</v>
      </c>
      <c r="F262" s="113" t="s">
        <v>707</v>
      </c>
      <c r="G262" s="113" t="s">
        <v>1101</v>
      </c>
      <c r="H262" s="113" t="s">
        <v>707</v>
      </c>
      <c r="I262" s="620">
        <f>PAMS!F$65</f>
        <v>0</v>
      </c>
      <c r="J262" s="620">
        <f>INDEX(PAMS!$I$53:$Q$62,MATCH($C262,PAMS!$B$53:$B$62,0),MATCH(J$2,PAMS!$I$52:$Q$52,0))</f>
        <v>0</v>
      </c>
      <c r="K262" s="620">
        <f>J262+($M262-$J262)/3</f>
        <v>0</v>
      </c>
      <c r="L262" s="620">
        <f>K262+($M262-$J262)/3</f>
        <v>0</v>
      </c>
      <c r="M262" s="620">
        <f>INDEX(PAMS!$I$53:$Q$62,MATCH($C262,PAMS!$B$53:$B$62,0),MATCH(M$2,PAMS!$I$52:$Q$52,0))</f>
        <v>0</v>
      </c>
      <c r="N262" s="620">
        <f>M262+($R262-$M262)/3</f>
        <v>0</v>
      </c>
      <c r="O262" s="620">
        <f>N262+($R262-$M262)/3</f>
        <v>0</v>
      </c>
      <c r="P262" s="620">
        <f>O262+($R262-$M262)/3</f>
        <v>0</v>
      </c>
      <c r="Q262" s="620">
        <f>P262+($R262-$M262)/3</f>
        <v>0</v>
      </c>
      <c r="R262" s="620">
        <f>INDEX(PAMS!$I$53:$Q$62,MATCH($C262,PAMS!$B$53:$B$62,0),MATCH(R$2,PAMS!$I$52:$Q$52,0))</f>
        <v>0</v>
      </c>
      <c r="S262" s="620">
        <f>R262+($W262-$R262)/4</f>
        <v>0</v>
      </c>
      <c r="T262" s="620">
        <f>S262+($W262-$R262)/4</f>
        <v>0</v>
      </c>
      <c r="U262" s="620">
        <f>T262+($W262-$R262)/4</f>
        <v>0</v>
      </c>
      <c r="V262" s="620">
        <f>U262+($W262-$R262)/4</f>
        <v>0</v>
      </c>
      <c r="W262" s="620">
        <f>INDEX(PAMS!$I$53:$Q$62,MATCH($C262,PAMS!$B$53:$B$62,0),MATCH(W$2,PAMS!$I$52:$Q$52,0))</f>
        <v>0</v>
      </c>
      <c r="X262" s="620">
        <f>W262+($AB262-$W262)/4</f>
        <v>0</v>
      </c>
      <c r="Y262" s="620">
        <f>X262+($AB262-$W262)/4</f>
        <v>0</v>
      </c>
      <c r="Z262" s="620">
        <f>Y262+($AB262-$W262)/4</f>
        <v>0</v>
      </c>
      <c r="AA262" s="620">
        <f>Z262+($AB262-$W262)/4</f>
        <v>0</v>
      </c>
      <c r="AB262" s="620">
        <f>INDEX(PAMS!$I$53:$Q$62,MATCH($C262,PAMS!$B$53:$B$62,0),MATCH(AB$2,PAMS!$I$52:$Q$52,0))</f>
        <v>0</v>
      </c>
      <c r="AC262" s="620">
        <f>AB262+($AG262-$AB262)/4</f>
        <v>0</v>
      </c>
      <c r="AD262" s="620">
        <f>AC262+($AG262-$AB262)/4</f>
        <v>0</v>
      </c>
      <c r="AE262" s="620">
        <f>AD262+($AG262-$AB262)/4</f>
        <v>0</v>
      </c>
      <c r="AF262" s="620">
        <f>AE262+($AG262-$AB262)/4</f>
        <v>0</v>
      </c>
      <c r="AG262" s="620">
        <f>INDEX(PAMS!$I$53:$Q$62,MATCH($C262,PAMS!$B$53:$B$62,0),MATCH(AG$2,PAMS!$I$52:$Q$52,0))</f>
        <v>0</v>
      </c>
      <c r="AH262" s="620">
        <f>AG262+($AM262-$AG262)/4</f>
        <v>0</v>
      </c>
      <c r="AI262" s="620">
        <f>AH262+($AM262-$AG262)/4</f>
        <v>0</v>
      </c>
      <c r="AJ262" s="620">
        <f>AI262+($AM262-$AG262)/4</f>
        <v>0</v>
      </c>
      <c r="AK262" s="620">
        <f>AJ262+($AM262-$AG262)/4</f>
        <v>0</v>
      </c>
      <c r="AL262" s="620">
        <f>INDEX(PAMS!$I$53:$Q$62,MATCH($C262,PAMS!$B$53:$B$62,0),MATCH(AL$2,PAMS!$I$52:$Q$52,0))</f>
        <v>0</v>
      </c>
      <c r="AM262" s="620">
        <f>INDEX(PAMS!$I$53:$Q$62,MATCH($C262,PAMS!$B$53:$B$62,0),MATCH(AM$2,PAMS!$I$52:$Q$52,0))</f>
        <v>0</v>
      </c>
      <c r="AN262" s="620">
        <f>INDEX(PAMS!$I$53:$Q$62,MATCH($C262,PAMS!$B$53:$B$62,0),MATCH(AN$2,PAMS!$I$52:$Q$52,0))</f>
        <v>0</v>
      </c>
    </row>
    <row r="263" spans="1:40" x14ac:dyDescent="0.25">
      <c r="A263" s="113" t="s">
        <v>1052</v>
      </c>
      <c r="B263" s="113" t="s">
        <v>1438</v>
      </c>
      <c r="C263" s="113" t="s">
        <v>1396</v>
      </c>
      <c r="D263" s="113" t="s">
        <v>1431</v>
      </c>
      <c r="E263" s="113" t="s">
        <v>1437</v>
      </c>
      <c r="F263" s="113" t="s">
        <v>707</v>
      </c>
      <c r="G263" s="113" t="s">
        <v>1101</v>
      </c>
      <c r="H263" s="113" t="s">
        <v>707</v>
      </c>
      <c r="I263" s="113">
        <v>0</v>
      </c>
      <c r="J263" s="113">
        <v>1</v>
      </c>
      <c r="K263" s="113">
        <f t="shared" ref="K263:AN263" si="31">J263</f>
        <v>1</v>
      </c>
      <c r="L263" s="113">
        <f t="shared" si="31"/>
        <v>1</v>
      </c>
      <c r="M263" s="113">
        <f t="shared" si="31"/>
        <v>1</v>
      </c>
      <c r="N263" s="113">
        <f t="shared" si="31"/>
        <v>1</v>
      </c>
      <c r="O263" s="113">
        <f t="shared" si="31"/>
        <v>1</v>
      </c>
      <c r="P263" s="113">
        <f t="shared" si="31"/>
        <v>1</v>
      </c>
      <c r="Q263" s="113">
        <f t="shared" si="31"/>
        <v>1</v>
      </c>
      <c r="R263" s="113">
        <f t="shared" si="31"/>
        <v>1</v>
      </c>
      <c r="S263" s="113">
        <f t="shared" si="31"/>
        <v>1</v>
      </c>
      <c r="T263" s="113">
        <f t="shared" si="31"/>
        <v>1</v>
      </c>
      <c r="U263" s="113">
        <f t="shared" si="31"/>
        <v>1</v>
      </c>
      <c r="V263" s="113">
        <f t="shared" si="31"/>
        <v>1</v>
      </c>
      <c r="W263" s="113">
        <f t="shared" si="31"/>
        <v>1</v>
      </c>
      <c r="X263" s="113">
        <f t="shared" si="31"/>
        <v>1</v>
      </c>
      <c r="Y263" s="113">
        <f t="shared" si="31"/>
        <v>1</v>
      </c>
      <c r="Z263" s="113">
        <f t="shared" si="31"/>
        <v>1</v>
      </c>
      <c r="AA263" s="113">
        <f t="shared" si="31"/>
        <v>1</v>
      </c>
      <c r="AB263" s="113">
        <f t="shared" si="31"/>
        <v>1</v>
      </c>
      <c r="AC263" s="113">
        <f t="shared" si="31"/>
        <v>1</v>
      </c>
      <c r="AD263" s="113">
        <f t="shared" si="31"/>
        <v>1</v>
      </c>
      <c r="AE263" s="113">
        <f t="shared" si="31"/>
        <v>1</v>
      </c>
      <c r="AF263" s="113">
        <f t="shared" si="31"/>
        <v>1</v>
      </c>
      <c r="AG263" s="113">
        <f t="shared" si="31"/>
        <v>1</v>
      </c>
      <c r="AH263" s="113">
        <f t="shared" si="31"/>
        <v>1</v>
      </c>
      <c r="AI263" s="113">
        <f t="shared" si="31"/>
        <v>1</v>
      </c>
      <c r="AJ263" s="113">
        <f t="shared" si="31"/>
        <v>1</v>
      </c>
      <c r="AK263" s="113">
        <f t="shared" si="31"/>
        <v>1</v>
      </c>
      <c r="AL263" s="113">
        <f t="shared" si="31"/>
        <v>1</v>
      </c>
      <c r="AM263" s="113">
        <f t="shared" si="31"/>
        <v>1</v>
      </c>
      <c r="AN263" s="113">
        <f t="shared" si="31"/>
        <v>1</v>
      </c>
    </row>
    <row r="264" spans="1:40" x14ac:dyDescent="0.25">
      <c r="A264" s="113" t="s">
        <v>1052</v>
      </c>
      <c r="B264" s="113" t="s">
        <v>1432</v>
      </c>
      <c r="C264" s="113" t="s">
        <v>1429</v>
      </c>
      <c r="D264" s="113" t="s">
        <v>1431</v>
      </c>
      <c r="E264" s="113" t="s">
        <v>1436</v>
      </c>
      <c r="F264" s="113" t="s">
        <v>707</v>
      </c>
      <c r="G264" s="113" t="s">
        <v>707</v>
      </c>
      <c r="H264" s="113" t="s">
        <v>707</v>
      </c>
      <c r="I264" s="113">
        <v>0</v>
      </c>
      <c r="J264" s="113">
        <v>1</v>
      </c>
      <c r="K264" s="113">
        <f t="shared" ref="K264:AN264" si="32">J264</f>
        <v>1</v>
      </c>
      <c r="L264" s="113">
        <f t="shared" si="32"/>
        <v>1</v>
      </c>
      <c r="M264" s="113">
        <f t="shared" si="32"/>
        <v>1</v>
      </c>
      <c r="N264" s="113">
        <f t="shared" si="32"/>
        <v>1</v>
      </c>
      <c r="O264" s="113">
        <f t="shared" si="32"/>
        <v>1</v>
      </c>
      <c r="P264" s="113">
        <f t="shared" si="32"/>
        <v>1</v>
      </c>
      <c r="Q264" s="113">
        <f t="shared" si="32"/>
        <v>1</v>
      </c>
      <c r="R264" s="113">
        <f t="shared" si="32"/>
        <v>1</v>
      </c>
      <c r="S264" s="113">
        <f t="shared" si="32"/>
        <v>1</v>
      </c>
      <c r="T264" s="113">
        <f t="shared" si="32"/>
        <v>1</v>
      </c>
      <c r="U264" s="113">
        <f t="shared" si="32"/>
        <v>1</v>
      </c>
      <c r="V264" s="113">
        <f t="shared" si="32"/>
        <v>1</v>
      </c>
      <c r="W264" s="113">
        <f t="shared" si="32"/>
        <v>1</v>
      </c>
      <c r="X264" s="113">
        <f t="shared" si="32"/>
        <v>1</v>
      </c>
      <c r="Y264" s="113">
        <f t="shared" si="32"/>
        <v>1</v>
      </c>
      <c r="Z264" s="113">
        <f t="shared" si="32"/>
        <v>1</v>
      </c>
      <c r="AA264" s="113">
        <f t="shared" si="32"/>
        <v>1</v>
      </c>
      <c r="AB264" s="113">
        <f t="shared" si="32"/>
        <v>1</v>
      </c>
      <c r="AC264" s="113">
        <f t="shared" si="32"/>
        <v>1</v>
      </c>
      <c r="AD264" s="113">
        <f t="shared" si="32"/>
        <v>1</v>
      </c>
      <c r="AE264" s="113">
        <f t="shared" si="32"/>
        <v>1</v>
      </c>
      <c r="AF264" s="113">
        <f t="shared" si="32"/>
        <v>1</v>
      </c>
      <c r="AG264" s="113">
        <f t="shared" si="32"/>
        <v>1</v>
      </c>
      <c r="AH264" s="113">
        <f t="shared" si="32"/>
        <v>1</v>
      </c>
      <c r="AI264" s="113">
        <f t="shared" si="32"/>
        <v>1</v>
      </c>
      <c r="AJ264" s="113">
        <f t="shared" si="32"/>
        <v>1</v>
      </c>
      <c r="AK264" s="113">
        <f t="shared" si="32"/>
        <v>1</v>
      </c>
      <c r="AL264" s="113">
        <f t="shared" si="32"/>
        <v>1</v>
      </c>
      <c r="AM264" s="113">
        <f t="shared" si="32"/>
        <v>1</v>
      </c>
      <c r="AN264" s="113">
        <f t="shared" si="32"/>
        <v>1</v>
      </c>
    </row>
    <row r="265" spans="1:40" x14ac:dyDescent="0.25">
      <c r="A265" s="113" t="s">
        <v>1052</v>
      </c>
      <c r="B265" s="113" t="s">
        <v>1432</v>
      </c>
      <c r="C265" s="113" t="s">
        <v>1423</v>
      </c>
      <c r="D265" s="113" t="s">
        <v>1431</v>
      </c>
      <c r="E265" s="113" t="s">
        <v>1435</v>
      </c>
      <c r="F265" s="113" t="s">
        <v>707</v>
      </c>
      <c r="G265" s="113" t="s">
        <v>707</v>
      </c>
      <c r="H265" s="113" t="s">
        <v>707</v>
      </c>
      <c r="I265" s="113">
        <v>0</v>
      </c>
      <c r="J265" s="113">
        <v>1</v>
      </c>
      <c r="K265" s="113">
        <f t="shared" ref="K265:AN265" si="33">J265</f>
        <v>1</v>
      </c>
      <c r="L265" s="113">
        <f t="shared" si="33"/>
        <v>1</v>
      </c>
      <c r="M265" s="113">
        <f t="shared" si="33"/>
        <v>1</v>
      </c>
      <c r="N265" s="113">
        <f t="shared" si="33"/>
        <v>1</v>
      </c>
      <c r="O265" s="113">
        <f t="shared" si="33"/>
        <v>1</v>
      </c>
      <c r="P265" s="113">
        <f t="shared" si="33"/>
        <v>1</v>
      </c>
      <c r="Q265" s="113">
        <f t="shared" si="33"/>
        <v>1</v>
      </c>
      <c r="R265" s="113">
        <f t="shared" si="33"/>
        <v>1</v>
      </c>
      <c r="S265" s="113">
        <f t="shared" si="33"/>
        <v>1</v>
      </c>
      <c r="T265" s="113">
        <f t="shared" si="33"/>
        <v>1</v>
      </c>
      <c r="U265" s="113">
        <f t="shared" si="33"/>
        <v>1</v>
      </c>
      <c r="V265" s="113">
        <f t="shared" si="33"/>
        <v>1</v>
      </c>
      <c r="W265" s="113">
        <f t="shared" si="33"/>
        <v>1</v>
      </c>
      <c r="X265" s="113">
        <f t="shared" si="33"/>
        <v>1</v>
      </c>
      <c r="Y265" s="113">
        <f t="shared" si="33"/>
        <v>1</v>
      </c>
      <c r="Z265" s="113">
        <f t="shared" si="33"/>
        <v>1</v>
      </c>
      <c r="AA265" s="113">
        <f t="shared" si="33"/>
        <v>1</v>
      </c>
      <c r="AB265" s="113">
        <f t="shared" si="33"/>
        <v>1</v>
      </c>
      <c r="AC265" s="113">
        <f t="shared" si="33"/>
        <v>1</v>
      </c>
      <c r="AD265" s="113">
        <f t="shared" si="33"/>
        <v>1</v>
      </c>
      <c r="AE265" s="113">
        <f t="shared" si="33"/>
        <v>1</v>
      </c>
      <c r="AF265" s="113">
        <f t="shared" si="33"/>
        <v>1</v>
      </c>
      <c r="AG265" s="113">
        <f t="shared" si="33"/>
        <v>1</v>
      </c>
      <c r="AH265" s="113">
        <f t="shared" si="33"/>
        <v>1</v>
      </c>
      <c r="AI265" s="113">
        <f t="shared" si="33"/>
        <v>1</v>
      </c>
      <c r="AJ265" s="113">
        <f t="shared" si="33"/>
        <v>1</v>
      </c>
      <c r="AK265" s="113">
        <f t="shared" si="33"/>
        <v>1</v>
      </c>
      <c r="AL265" s="113">
        <f t="shared" si="33"/>
        <v>1</v>
      </c>
      <c r="AM265" s="113">
        <f t="shared" si="33"/>
        <v>1</v>
      </c>
      <c r="AN265" s="113">
        <f t="shared" si="33"/>
        <v>1</v>
      </c>
    </row>
    <row r="266" spans="1:40" x14ac:dyDescent="0.25">
      <c r="A266" s="113" t="s">
        <v>1052</v>
      </c>
      <c r="B266" s="113" t="s">
        <v>1432</v>
      </c>
      <c r="C266" s="113" t="s">
        <v>1417</v>
      </c>
      <c r="D266" s="113" t="s">
        <v>1431</v>
      </c>
      <c r="E266" s="113" t="s">
        <v>1434</v>
      </c>
      <c r="F266" s="113" t="s">
        <v>707</v>
      </c>
      <c r="G266" s="113" t="s">
        <v>707</v>
      </c>
      <c r="H266" s="113" t="s">
        <v>707</v>
      </c>
      <c r="I266" s="113">
        <v>0</v>
      </c>
      <c r="J266" s="113">
        <v>1</v>
      </c>
      <c r="K266" s="113">
        <f t="shared" ref="K266:AN266" si="34">J266</f>
        <v>1</v>
      </c>
      <c r="L266" s="113">
        <f t="shared" si="34"/>
        <v>1</v>
      </c>
      <c r="M266" s="113">
        <f t="shared" si="34"/>
        <v>1</v>
      </c>
      <c r="N266" s="113">
        <f t="shared" si="34"/>
        <v>1</v>
      </c>
      <c r="O266" s="113">
        <f t="shared" si="34"/>
        <v>1</v>
      </c>
      <c r="P266" s="113">
        <f t="shared" si="34"/>
        <v>1</v>
      </c>
      <c r="Q266" s="113">
        <f t="shared" si="34"/>
        <v>1</v>
      </c>
      <c r="R266" s="113">
        <f t="shared" si="34"/>
        <v>1</v>
      </c>
      <c r="S266" s="113">
        <f t="shared" si="34"/>
        <v>1</v>
      </c>
      <c r="T266" s="113">
        <f t="shared" si="34"/>
        <v>1</v>
      </c>
      <c r="U266" s="113">
        <f t="shared" si="34"/>
        <v>1</v>
      </c>
      <c r="V266" s="113">
        <f t="shared" si="34"/>
        <v>1</v>
      </c>
      <c r="W266" s="113">
        <f t="shared" si="34"/>
        <v>1</v>
      </c>
      <c r="X266" s="113">
        <f t="shared" si="34"/>
        <v>1</v>
      </c>
      <c r="Y266" s="113">
        <f t="shared" si="34"/>
        <v>1</v>
      </c>
      <c r="Z266" s="113">
        <f t="shared" si="34"/>
        <v>1</v>
      </c>
      <c r="AA266" s="113">
        <f t="shared" si="34"/>
        <v>1</v>
      </c>
      <c r="AB266" s="113">
        <f t="shared" si="34"/>
        <v>1</v>
      </c>
      <c r="AC266" s="113">
        <f t="shared" si="34"/>
        <v>1</v>
      </c>
      <c r="AD266" s="113">
        <f t="shared" si="34"/>
        <v>1</v>
      </c>
      <c r="AE266" s="113">
        <f t="shared" si="34"/>
        <v>1</v>
      </c>
      <c r="AF266" s="113">
        <f t="shared" si="34"/>
        <v>1</v>
      </c>
      <c r="AG266" s="113">
        <f t="shared" si="34"/>
        <v>1</v>
      </c>
      <c r="AH266" s="113">
        <f t="shared" si="34"/>
        <v>1</v>
      </c>
      <c r="AI266" s="113">
        <f t="shared" si="34"/>
        <v>1</v>
      </c>
      <c r="AJ266" s="113">
        <f t="shared" si="34"/>
        <v>1</v>
      </c>
      <c r="AK266" s="113">
        <f t="shared" si="34"/>
        <v>1</v>
      </c>
      <c r="AL266" s="113">
        <f t="shared" si="34"/>
        <v>1</v>
      </c>
      <c r="AM266" s="113">
        <f t="shared" si="34"/>
        <v>1</v>
      </c>
      <c r="AN266" s="113">
        <f t="shared" si="34"/>
        <v>1</v>
      </c>
    </row>
    <row r="267" spans="1:40" x14ac:dyDescent="0.25">
      <c r="A267" s="113" t="s">
        <v>1052</v>
      </c>
      <c r="B267" s="113" t="s">
        <v>1432</v>
      </c>
      <c r="C267" s="113" t="s">
        <v>1411</v>
      </c>
      <c r="D267" s="113" t="s">
        <v>1431</v>
      </c>
      <c r="E267" s="113" t="s">
        <v>1433</v>
      </c>
      <c r="F267" s="113" t="s">
        <v>707</v>
      </c>
      <c r="G267" s="113" t="s">
        <v>707</v>
      </c>
      <c r="H267" s="113" t="s">
        <v>707</v>
      </c>
      <c r="I267" s="113">
        <v>0</v>
      </c>
      <c r="J267" s="113">
        <v>1</v>
      </c>
      <c r="K267" s="113">
        <f t="shared" ref="K267:AN267" si="35">J267</f>
        <v>1</v>
      </c>
      <c r="L267" s="113">
        <f t="shared" si="35"/>
        <v>1</v>
      </c>
      <c r="M267" s="113">
        <f t="shared" si="35"/>
        <v>1</v>
      </c>
      <c r="N267" s="113">
        <f t="shared" si="35"/>
        <v>1</v>
      </c>
      <c r="O267" s="113">
        <f t="shared" si="35"/>
        <v>1</v>
      </c>
      <c r="P267" s="113">
        <f t="shared" si="35"/>
        <v>1</v>
      </c>
      <c r="Q267" s="113">
        <f t="shared" si="35"/>
        <v>1</v>
      </c>
      <c r="R267" s="113">
        <f t="shared" si="35"/>
        <v>1</v>
      </c>
      <c r="S267" s="113">
        <f t="shared" si="35"/>
        <v>1</v>
      </c>
      <c r="T267" s="113">
        <f t="shared" si="35"/>
        <v>1</v>
      </c>
      <c r="U267" s="113">
        <f t="shared" si="35"/>
        <v>1</v>
      </c>
      <c r="V267" s="113">
        <f t="shared" si="35"/>
        <v>1</v>
      </c>
      <c r="W267" s="113">
        <f t="shared" si="35"/>
        <v>1</v>
      </c>
      <c r="X267" s="113">
        <f t="shared" si="35"/>
        <v>1</v>
      </c>
      <c r="Y267" s="113">
        <f t="shared" si="35"/>
        <v>1</v>
      </c>
      <c r="Z267" s="113">
        <f t="shared" si="35"/>
        <v>1</v>
      </c>
      <c r="AA267" s="113">
        <f t="shared" si="35"/>
        <v>1</v>
      </c>
      <c r="AB267" s="113">
        <f t="shared" si="35"/>
        <v>1</v>
      </c>
      <c r="AC267" s="113">
        <f t="shared" si="35"/>
        <v>1</v>
      </c>
      <c r="AD267" s="113">
        <f t="shared" si="35"/>
        <v>1</v>
      </c>
      <c r="AE267" s="113">
        <f t="shared" si="35"/>
        <v>1</v>
      </c>
      <c r="AF267" s="113">
        <f t="shared" si="35"/>
        <v>1</v>
      </c>
      <c r="AG267" s="113">
        <f t="shared" si="35"/>
        <v>1</v>
      </c>
      <c r="AH267" s="113">
        <f t="shared" si="35"/>
        <v>1</v>
      </c>
      <c r="AI267" s="113">
        <f t="shared" si="35"/>
        <v>1</v>
      </c>
      <c r="AJ267" s="113">
        <f t="shared" si="35"/>
        <v>1</v>
      </c>
      <c r="AK267" s="113">
        <f t="shared" si="35"/>
        <v>1</v>
      </c>
      <c r="AL267" s="113">
        <f t="shared" si="35"/>
        <v>1</v>
      </c>
      <c r="AM267" s="113">
        <f t="shared" si="35"/>
        <v>1</v>
      </c>
      <c r="AN267" s="113">
        <f t="shared" si="35"/>
        <v>1</v>
      </c>
    </row>
    <row r="268" spans="1:40" x14ac:dyDescent="0.25">
      <c r="A268" s="113" t="s">
        <v>1052</v>
      </c>
      <c r="B268" s="113" t="s">
        <v>1432</v>
      </c>
      <c r="C268" s="113" t="s">
        <v>1405</v>
      </c>
      <c r="D268" s="113" t="s">
        <v>1431</v>
      </c>
      <c r="E268" s="113" t="s">
        <v>1430</v>
      </c>
      <c r="F268" s="113" t="s">
        <v>707</v>
      </c>
      <c r="G268" s="113" t="s">
        <v>707</v>
      </c>
      <c r="H268" s="113" t="s">
        <v>707</v>
      </c>
      <c r="I268" s="113">
        <v>0</v>
      </c>
      <c r="J268" s="113">
        <v>1</v>
      </c>
      <c r="K268" s="113">
        <f t="shared" ref="K268:AN268" si="36">J268</f>
        <v>1</v>
      </c>
      <c r="L268" s="113">
        <f t="shared" si="36"/>
        <v>1</v>
      </c>
      <c r="M268" s="113">
        <f t="shared" si="36"/>
        <v>1</v>
      </c>
      <c r="N268" s="113">
        <f t="shared" si="36"/>
        <v>1</v>
      </c>
      <c r="O268" s="113">
        <f t="shared" si="36"/>
        <v>1</v>
      </c>
      <c r="P268" s="113">
        <f t="shared" si="36"/>
        <v>1</v>
      </c>
      <c r="Q268" s="113">
        <f t="shared" si="36"/>
        <v>1</v>
      </c>
      <c r="R268" s="113">
        <f t="shared" si="36"/>
        <v>1</v>
      </c>
      <c r="S268" s="113">
        <f t="shared" si="36"/>
        <v>1</v>
      </c>
      <c r="T268" s="113">
        <f t="shared" si="36"/>
        <v>1</v>
      </c>
      <c r="U268" s="113">
        <f t="shared" si="36"/>
        <v>1</v>
      </c>
      <c r="V268" s="113">
        <f t="shared" si="36"/>
        <v>1</v>
      </c>
      <c r="W268" s="113">
        <f t="shared" si="36"/>
        <v>1</v>
      </c>
      <c r="X268" s="113">
        <f t="shared" si="36"/>
        <v>1</v>
      </c>
      <c r="Y268" s="113">
        <f t="shared" si="36"/>
        <v>1</v>
      </c>
      <c r="Z268" s="113">
        <f t="shared" si="36"/>
        <v>1</v>
      </c>
      <c r="AA268" s="113">
        <f t="shared" si="36"/>
        <v>1</v>
      </c>
      <c r="AB268" s="113">
        <f t="shared" si="36"/>
        <v>1</v>
      </c>
      <c r="AC268" s="113">
        <f t="shared" si="36"/>
        <v>1</v>
      </c>
      <c r="AD268" s="113">
        <f t="shared" si="36"/>
        <v>1</v>
      </c>
      <c r="AE268" s="113">
        <f t="shared" si="36"/>
        <v>1</v>
      </c>
      <c r="AF268" s="113">
        <f t="shared" si="36"/>
        <v>1</v>
      </c>
      <c r="AG268" s="113">
        <f t="shared" si="36"/>
        <v>1</v>
      </c>
      <c r="AH268" s="113">
        <f t="shared" si="36"/>
        <v>1</v>
      </c>
      <c r="AI268" s="113">
        <f t="shared" si="36"/>
        <v>1</v>
      </c>
      <c r="AJ268" s="113">
        <f t="shared" si="36"/>
        <v>1</v>
      </c>
      <c r="AK268" s="113">
        <f t="shared" si="36"/>
        <v>1</v>
      </c>
      <c r="AL268" s="113">
        <f t="shared" si="36"/>
        <v>1</v>
      </c>
      <c r="AM268" s="113">
        <f t="shared" si="36"/>
        <v>1</v>
      </c>
      <c r="AN268" s="113">
        <f t="shared" si="36"/>
        <v>1</v>
      </c>
    </row>
    <row r="269" spans="1:40" x14ac:dyDescent="0.25">
      <c r="A269" s="113" t="s">
        <v>1052</v>
      </c>
      <c r="B269" s="113" t="s">
        <v>979</v>
      </c>
      <c r="C269" s="113" t="s">
        <v>170</v>
      </c>
      <c r="D269" s="113" t="s">
        <v>707</v>
      </c>
      <c r="E269" s="113" t="s">
        <v>707</v>
      </c>
      <c r="F269" s="113" t="s">
        <v>707</v>
      </c>
      <c r="G269" s="113" t="s">
        <v>1101</v>
      </c>
      <c r="H269" s="113" t="s">
        <v>593</v>
      </c>
      <c r="I269" s="113">
        <v>5</v>
      </c>
      <c r="J269" s="113">
        <v>0</v>
      </c>
      <c r="M269" s="113">
        <v>0</v>
      </c>
      <c r="AB269" s="113">
        <v>0.8</v>
      </c>
    </row>
    <row r="270" spans="1:40" x14ac:dyDescent="0.25">
      <c r="A270" s="616" t="s">
        <v>1052</v>
      </c>
      <c r="B270" s="113" t="s">
        <v>979</v>
      </c>
      <c r="C270" s="113" t="s">
        <v>1306</v>
      </c>
      <c r="D270" s="113" t="s">
        <v>707</v>
      </c>
      <c r="E270" s="113" t="s">
        <v>707</v>
      </c>
      <c r="F270" s="113" t="s">
        <v>707</v>
      </c>
      <c r="G270" s="113" t="s">
        <v>1101</v>
      </c>
      <c r="H270" s="113" t="s">
        <v>593</v>
      </c>
      <c r="I270" s="113">
        <v>5</v>
      </c>
      <c r="J270" s="113">
        <v>0.4</v>
      </c>
    </row>
    <row r="271" spans="1:40" x14ac:dyDescent="0.25">
      <c r="A271" s="616" t="s">
        <v>1052</v>
      </c>
      <c r="B271" s="113" t="s">
        <v>979</v>
      </c>
      <c r="C271" s="113" t="s">
        <v>1304</v>
      </c>
      <c r="D271" s="113" t="s">
        <v>707</v>
      </c>
      <c r="E271" s="113" t="s">
        <v>707</v>
      </c>
      <c r="F271" s="113" t="s">
        <v>707</v>
      </c>
      <c r="G271" s="113" t="s">
        <v>1101</v>
      </c>
      <c r="H271" s="113" t="s">
        <v>593</v>
      </c>
      <c r="I271" s="113">
        <v>5</v>
      </c>
      <c r="J271" s="113">
        <v>0.4</v>
      </c>
    </row>
    <row r="272" spans="1:40" x14ac:dyDescent="0.25">
      <c r="A272" s="113" t="s">
        <v>1052</v>
      </c>
      <c r="B272" s="113" t="s">
        <v>979</v>
      </c>
      <c r="C272" s="113" t="s">
        <v>539</v>
      </c>
      <c r="D272" s="113" t="s">
        <v>707</v>
      </c>
      <c r="E272" s="113" t="s">
        <v>707</v>
      </c>
      <c r="F272" s="113" t="s">
        <v>707</v>
      </c>
      <c r="G272" s="113" t="s">
        <v>1101</v>
      </c>
      <c r="H272" s="113" t="s">
        <v>593</v>
      </c>
      <c r="I272" s="113">
        <v>5</v>
      </c>
      <c r="J272" s="113">
        <v>0</v>
      </c>
      <c r="M272" s="113">
        <v>0</v>
      </c>
      <c r="AB272" s="113">
        <v>0.8</v>
      </c>
    </row>
    <row r="273" spans="1:28" x14ac:dyDescent="0.25">
      <c r="A273" s="113" t="s">
        <v>1052</v>
      </c>
      <c r="B273" s="113" t="s">
        <v>979</v>
      </c>
      <c r="C273" s="113" t="s">
        <v>172</v>
      </c>
      <c r="D273" s="113" t="s">
        <v>707</v>
      </c>
      <c r="E273" s="113" t="s">
        <v>707</v>
      </c>
      <c r="F273" s="113" t="s">
        <v>707</v>
      </c>
      <c r="G273" s="113" t="s">
        <v>1101</v>
      </c>
      <c r="H273" s="113" t="s">
        <v>593</v>
      </c>
      <c r="I273" s="113">
        <v>5</v>
      </c>
      <c r="J273" s="113">
        <v>0</v>
      </c>
      <c r="M273" s="113">
        <v>0</v>
      </c>
      <c r="AB273" s="113">
        <v>0.8</v>
      </c>
    </row>
    <row r="274" spans="1:28" x14ac:dyDescent="0.25">
      <c r="A274" s="616" t="s">
        <v>1052</v>
      </c>
      <c r="B274" s="113" t="s">
        <v>979</v>
      </c>
      <c r="C274" s="113" t="s">
        <v>1300</v>
      </c>
      <c r="D274" s="113" t="s">
        <v>707</v>
      </c>
      <c r="E274" s="113" t="s">
        <v>707</v>
      </c>
      <c r="F274" s="113" t="s">
        <v>707</v>
      </c>
      <c r="G274" s="113" t="s">
        <v>1101</v>
      </c>
      <c r="H274" s="113" t="s">
        <v>593</v>
      </c>
      <c r="I274" s="113">
        <v>5</v>
      </c>
      <c r="J274" s="113">
        <v>0.4</v>
      </c>
    </row>
    <row r="275" spans="1:28" x14ac:dyDescent="0.25">
      <c r="A275" s="616" t="s">
        <v>1052</v>
      </c>
      <c r="B275" s="113" t="s">
        <v>979</v>
      </c>
      <c r="C275" s="113" t="s">
        <v>1298</v>
      </c>
      <c r="D275" s="113" t="s">
        <v>707</v>
      </c>
      <c r="E275" s="113" t="s">
        <v>707</v>
      </c>
      <c r="F275" s="113" t="s">
        <v>707</v>
      </c>
      <c r="G275" s="113" t="s">
        <v>1101</v>
      </c>
      <c r="H275" s="113" t="s">
        <v>593</v>
      </c>
      <c r="I275" s="113">
        <v>5</v>
      </c>
      <c r="J275" s="113">
        <v>0.4</v>
      </c>
    </row>
    <row r="276" spans="1:28" x14ac:dyDescent="0.25">
      <c r="A276" s="113" t="s">
        <v>1052</v>
      </c>
      <c r="B276" s="113" t="s">
        <v>979</v>
      </c>
      <c r="C276" s="113" t="s">
        <v>175</v>
      </c>
      <c r="D276" s="113" t="s">
        <v>707</v>
      </c>
      <c r="E276" s="113" t="s">
        <v>707</v>
      </c>
      <c r="F276" s="113" t="s">
        <v>707</v>
      </c>
      <c r="G276" s="113" t="s">
        <v>1101</v>
      </c>
      <c r="H276" s="113" t="s">
        <v>593</v>
      </c>
      <c r="I276" s="113">
        <v>5</v>
      </c>
      <c r="J276" s="113">
        <v>0</v>
      </c>
      <c r="M276" s="113">
        <v>0</v>
      </c>
      <c r="AB276" s="113">
        <v>0.8</v>
      </c>
    </row>
    <row r="277" spans="1:28" x14ac:dyDescent="0.25">
      <c r="A277" s="616" t="s">
        <v>1052</v>
      </c>
      <c r="B277" s="113" t="s">
        <v>979</v>
      </c>
      <c r="C277" s="113" t="s">
        <v>1293</v>
      </c>
      <c r="D277" s="113" t="s">
        <v>707</v>
      </c>
      <c r="E277" s="113" t="s">
        <v>707</v>
      </c>
      <c r="F277" s="113" t="s">
        <v>707</v>
      </c>
      <c r="G277" s="113" t="s">
        <v>1101</v>
      </c>
      <c r="H277" s="113" t="s">
        <v>593</v>
      </c>
      <c r="I277" s="113">
        <v>5</v>
      </c>
      <c r="J277" s="113">
        <v>0.4</v>
      </c>
      <c r="K277" s="619"/>
    </row>
    <row r="278" spans="1:28" x14ac:dyDescent="0.25">
      <c r="A278" s="616" t="s">
        <v>1052</v>
      </c>
      <c r="B278" s="113" t="s">
        <v>979</v>
      </c>
      <c r="C278" s="113" t="s">
        <v>1291</v>
      </c>
      <c r="D278" s="113" t="s">
        <v>707</v>
      </c>
      <c r="E278" s="113" t="s">
        <v>707</v>
      </c>
      <c r="F278" s="113" t="s">
        <v>707</v>
      </c>
      <c r="G278" s="113" t="s">
        <v>1101</v>
      </c>
      <c r="H278" s="113" t="s">
        <v>593</v>
      </c>
      <c r="I278" s="113">
        <v>5</v>
      </c>
      <c r="J278" s="113">
        <v>0.4</v>
      </c>
      <c r="N278" s="618"/>
    </row>
    <row r="279" spans="1:28" x14ac:dyDescent="0.25">
      <c r="A279" s="113" t="s">
        <v>1052</v>
      </c>
      <c r="B279" s="113" t="s">
        <v>979</v>
      </c>
      <c r="C279" s="113" t="s">
        <v>540</v>
      </c>
      <c r="D279" s="113" t="s">
        <v>707</v>
      </c>
      <c r="E279" s="113" t="s">
        <v>707</v>
      </c>
      <c r="F279" s="113" t="s">
        <v>707</v>
      </c>
      <c r="G279" s="113" t="s">
        <v>1101</v>
      </c>
      <c r="H279" s="113" t="s">
        <v>593</v>
      </c>
      <c r="I279" s="113">
        <v>5</v>
      </c>
      <c r="J279" s="113">
        <v>0</v>
      </c>
      <c r="M279" s="113">
        <v>0</v>
      </c>
      <c r="AB279" s="113">
        <v>0.8</v>
      </c>
    </row>
    <row r="280" spans="1:28" x14ac:dyDescent="0.25">
      <c r="A280" s="113" t="s">
        <v>1052</v>
      </c>
      <c r="B280" s="113" t="s">
        <v>979</v>
      </c>
      <c r="C280" s="113" t="s">
        <v>541</v>
      </c>
      <c r="D280" s="113" t="s">
        <v>707</v>
      </c>
      <c r="E280" s="113" t="s">
        <v>707</v>
      </c>
      <c r="F280" s="113" t="s">
        <v>707</v>
      </c>
      <c r="G280" s="113" t="s">
        <v>1101</v>
      </c>
      <c r="H280" s="113" t="s">
        <v>593</v>
      </c>
      <c r="I280" s="113">
        <v>5</v>
      </c>
      <c r="J280" s="113">
        <v>0</v>
      </c>
      <c r="M280" s="113">
        <v>0</v>
      </c>
      <c r="AB280" s="113">
        <v>0.8</v>
      </c>
    </row>
    <row r="281" spans="1:28" x14ac:dyDescent="0.25">
      <c r="A281" s="113" t="s">
        <v>1052</v>
      </c>
      <c r="B281" s="113" t="s">
        <v>979</v>
      </c>
      <c r="C281" s="113" t="s">
        <v>179</v>
      </c>
      <c r="D281" s="113" t="s">
        <v>707</v>
      </c>
      <c r="E281" s="113" t="s">
        <v>707</v>
      </c>
      <c r="F281" s="113" t="s">
        <v>707</v>
      </c>
      <c r="G281" s="113" t="s">
        <v>1101</v>
      </c>
      <c r="H281" s="113" t="s">
        <v>593</v>
      </c>
      <c r="I281" s="113">
        <v>5</v>
      </c>
      <c r="J281" s="113">
        <v>0</v>
      </c>
      <c r="M281" s="113">
        <v>0</v>
      </c>
      <c r="AB281" s="113">
        <v>0.8</v>
      </c>
    </row>
    <row r="282" spans="1:28" x14ac:dyDescent="0.25">
      <c r="A282" s="616" t="s">
        <v>1052</v>
      </c>
      <c r="B282" s="113" t="s">
        <v>979</v>
      </c>
      <c r="C282" s="113" t="s">
        <v>1286</v>
      </c>
      <c r="D282" s="113" t="s">
        <v>707</v>
      </c>
      <c r="E282" s="113" t="s">
        <v>707</v>
      </c>
      <c r="F282" s="113" t="s">
        <v>707</v>
      </c>
      <c r="G282" s="113" t="s">
        <v>1101</v>
      </c>
      <c r="H282" s="113" t="s">
        <v>593</v>
      </c>
      <c r="I282" s="113">
        <v>5</v>
      </c>
      <c r="J282" s="113">
        <v>0.4</v>
      </c>
      <c r="N282" s="617"/>
    </row>
    <row r="283" spans="1:28" x14ac:dyDescent="0.25">
      <c r="A283" s="616" t="s">
        <v>1052</v>
      </c>
      <c r="B283" s="113" t="s">
        <v>979</v>
      </c>
      <c r="C283" s="113" t="s">
        <v>1284</v>
      </c>
      <c r="D283" s="113" t="s">
        <v>707</v>
      </c>
      <c r="E283" s="113" t="s">
        <v>707</v>
      </c>
      <c r="F283" s="113" t="s">
        <v>707</v>
      </c>
      <c r="G283" s="113" t="s">
        <v>1101</v>
      </c>
      <c r="H283" s="113" t="s">
        <v>593</v>
      </c>
      <c r="I283" s="113">
        <v>5</v>
      </c>
      <c r="J283" s="113">
        <v>0.4</v>
      </c>
    </row>
    <row r="284" spans="1:28" x14ac:dyDescent="0.25">
      <c r="A284" s="113" t="s">
        <v>1052</v>
      </c>
      <c r="B284" s="113" t="s">
        <v>979</v>
      </c>
      <c r="C284" s="113" t="s">
        <v>181</v>
      </c>
      <c r="D284" s="113" t="s">
        <v>707</v>
      </c>
      <c r="E284" s="113" t="s">
        <v>707</v>
      </c>
      <c r="F284" s="113" t="s">
        <v>707</v>
      </c>
      <c r="G284" s="113" t="s">
        <v>1101</v>
      </c>
      <c r="H284" s="113" t="s">
        <v>593</v>
      </c>
      <c r="I284" s="113">
        <v>5</v>
      </c>
      <c r="J284" s="113">
        <v>0.4</v>
      </c>
    </row>
    <row r="285" spans="1:28" x14ac:dyDescent="0.25">
      <c r="A285" s="616" t="s">
        <v>1052</v>
      </c>
      <c r="B285" s="113" t="s">
        <v>979</v>
      </c>
      <c r="C285" s="113" t="s">
        <v>1281</v>
      </c>
      <c r="D285" s="113" t="s">
        <v>707</v>
      </c>
      <c r="E285" s="113" t="s">
        <v>707</v>
      </c>
      <c r="F285" s="113" t="s">
        <v>707</v>
      </c>
      <c r="G285" s="113" t="s">
        <v>1101</v>
      </c>
      <c r="H285" s="113" t="s">
        <v>593</v>
      </c>
      <c r="I285" s="113">
        <v>5</v>
      </c>
      <c r="J285" s="113">
        <v>0.4</v>
      </c>
    </row>
    <row r="286" spans="1:28" x14ac:dyDescent="0.25">
      <c r="A286" s="616" t="s">
        <v>1052</v>
      </c>
      <c r="B286" s="113" t="s">
        <v>979</v>
      </c>
      <c r="C286" s="113" t="s">
        <v>1279</v>
      </c>
      <c r="D286" s="113" t="s">
        <v>707</v>
      </c>
      <c r="E286" s="113" t="s">
        <v>707</v>
      </c>
      <c r="F286" s="113" t="s">
        <v>707</v>
      </c>
      <c r="G286" s="113" t="s">
        <v>1101</v>
      </c>
      <c r="H286" s="113" t="s">
        <v>593</v>
      </c>
      <c r="I286" s="113">
        <v>5</v>
      </c>
      <c r="J286" s="113">
        <v>0.4</v>
      </c>
    </row>
    <row r="287" spans="1:28" x14ac:dyDescent="0.25">
      <c r="A287" s="113" t="s">
        <v>1052</v>
      </c>
      <c r="B287" s="113" t="s">
        <v>979</v>
      </c>
      <c r="C287" s="113" t="s">
        <v>542</v>
      </c>
      <c r="D287" s="113" t="s">
        <v>707</v>
      </c>
      <c r="E287" s="113" t="s">
        <v>707</v>
      </c>
      <c r="F287" s="113" t="s">
        <v>707</v>
      </c>
      <c r="G287" s="113" t="s">
        <v>1101</v>
      </c>
      <c r="H287" s="113" t="s">
        <v>593</v>
      </c>
      <c r="I287" s="113">
        <v>5</v>
      </c>
      <c r="J287" s="113">
        <v>0.4</v>
      </c>
    </row>
    <row r="288" spans="1:28" x14ac:dyDescent="0.25">
      <c r="B288" s="113" t="s">
        <v>909</v>
      </c>
      <c r="C288" s="113" t="s">
        <v>170</v>
      </c>
      <c r="D288" s="113" t="s">
        <v>707</v>
      </c>
      <c r="E288" s="113" t="s">
        <v>1550</v>
      </c>
      <c r="F288" s="113" t="s">
        <v>707</v>
      </c>
      <c r="G288" s="113" t="s">
        <v>707</v>
      </c>
      <c r="H288" s="113" t="s">
        <v>707</v>
      </c>
      <c r="I288" s="113">
        <v>0</v>
      </c>
      <c r="J288" s="113">
        <v>0.3</v>
      </c>
    </row>
    <row r="289" spans="2:10" x14ac:dyDescent="0.25">
      <c r="B289" s="113" t="s">
        <v>909</v>
      </c>
      <c r="C289" s="113" t="s">
        <v>1306</v>
      </c>
      <c r="D289" s="113" t="s">
        <v>707</v>
      </c>
      <c r="E289" s="113" t="s">
        <v>1550</v>
      </c>
      <c r="F289" s="113" t="s">
        <v>707</v>
      </c>
      <c r="G289" s="113" t="s">
        <v>707</v>
      </c>
      <c r="H289" s="113" t="s">
        <v>707</v>
      </c>
      <c r="I289" s="113">
        <v>0</v>
      </c>
      <c r="J289" s="113">
        <v>0.3</v>
      </c>
    </row>
    <row r="290" spans="2:10" x14ac:dyDescent="0.25">
      <c r="B290" s="113" t="s">
        <v>909</v>
      </c>
      <c r="C290" s="113" t="s">
        <v>1304</v>
      </c>
      <c r="D290" s="113" t="s">
        <v>707</v>
      </c>
      <c r="E290" s="113" t="s">
        <v>1550</v>
      </c>
      <c r="F290" s="113" t="s">
        <v>707</v>
      </c>
      <c r="G290" s="113" t="s">
        <v>707</v>
      </c>
      <c r="H290" s="113" t="s">
        <v>707</v>
      </c>
      <c r="I290" s="113">
        <v>0</v>
      </c>
      <c r="J290" s="113">
        <v>0.3</v>
      </c>
    </row>
    <row r="291" spans="2:10" x14ac:dyDescent="0.25">
      <c r="B291" s="113" t="s">
        <v>909</v>
      </c>
      <c r="C291" s="113" t="s">
        <v>539</v>
      </c>
      <c r="D291" s="113" t="s">
        <v>707</v>
      </c>
      <c r="E291" s="113" t="s">
        <v>1550</v>
      </c>
      <c r="F291" s="113" t="s">
        <v>707</v>
      </c>
      <c r="G291" s="113" t="s">
        <v>707</v>
      </c>
      <c r="H291" s="113" t="s">
        <v>707</v>
      </c>
      <c r="I291" s="113">
        <v>0</v>
      </c>
      <c r="J291" s="113">
        <v>0.3</v>
      </c>
    </row>
    <row r="292" spans="2:10" x14ac:dyDescent="0.25">
      <c r="B292" s="113" t="s">
        <v>1452</v>
      </c>
      <c r="C292" s="113" t="s">
        <v>1306</v>
      </c>
      <c r="D292" s="113" t="s">
        <v>707</v>
      </c>
      <c r="E292" s="113" t="s">
        <v>707</v>
      </c>
      <c r="F292" s="113" t="s">
        <v>707</v>
      </c>
      <c r="G292" s="113" t="s">
        <v>707</v>
      </c>
      <c r="H292" s="113" t="s">
        <v>1102</v>
      </c>
      <c r="I292" s="113">
        <v>3</v>
      </c>
      <c r="J292" s="113">
        <v>0</v>
      </c>
    </row>
    <row r="293" spans="2:10" x14ac:dyDescent="0.25">
      <c r="B293" s="113" t="s">
        <v>1452</v>
      </c>
      <c r="C293" s="113" t="s">
        <v>1304</v>
      </c>
      <c r="D293" s="113" t="s">
        <v>707</v>
      </c>
      <c r="E293" s="113" t="s">
        <v>707</v>
      </c>
      <c r="F293" s="113" t="s">
        <v>707</v>
      </c>
      <c r="G293" s="113" t="s">
        <v>707</v>
      </c>
      <c r="H293" s="113" t="s">
        <v>1102</v>
      </c>
      <c r="I293" s="113">
        <v>3</v>
      </c>
      <c r="J293" s="113">
        <v>0</v>
      </c>
    </row>
    <row r="294" spans="2:10" x14ac:dyDescent="0.25">
      <c r="B294" s="113" t="s">
        <v>1452</v>
      </c>
      <c r="C294" s="113" t="s">
        <v>1300</v>
      </c>
      <c r="D294" s="113" t="s">
        <v>707</v>
      </c>
      <c r="E294" s="113" t="s">
        <v>707</v>
      </c>
      <c r="F294" s="113" t="s">
        <v>707</v>
      </c>
      <c r="G294" s="113" t="s">
        <v>707</v>
      </c>
      <c r="H294" s="113" t="s">
        <v>1102</v>
      </c>
      <c r="I294" s="113">
        <v>3</v>
      </c>
      <c r="J294" s="113">
        <v>0</v>
      </c>
    </row>
    <row r="295" spans="2:10" x14ac:dyDescent="0.25">
      <c r="B295" s="113" t="s">
        <v>1452</v>
      </c>
      <c r="C295" s="113" t="s">
        <v>1298</v>
      </c>
      <c r="D295" s="113" t="s">
        <v>707</v>
      </c>
      <c r="E295" s="113" t="s">
        <v>707</v>
      </c>
      <c r="F295" s="113" t="s">
        <v>707</v>
      </c>
      <c r="G295" s="113" t="s">
        <v>707</v>
      </c>
      <c r="H295" s="113" t="s">
        <v>1102</v>
      </c>
      <c r="I295" s="113">
        <v>3</v>
      </c>
      <c r="J295" s="113">
        <v>0</v>
      </c>
    </row>
    <row r="296" spans="2:10" x14ac:dyDescent="0.25">
      <c r="B296" s="113" t="s">
        <v>1452</v>
      </c>
      <c r="C296" s="113" t="s">
        <v>1293</v>
      </c>
      <c r="D296" s="113" t="s">
        <v>707</v>
      </c>
      <c r="E296" s="113" t="s">
        <v>707</v>
      </c>
      <c r="F296" s="113" t="s">
        <v>707</v>
      </c>
      <c r="G296" s="113" t="s">
        <v>707</v>
      </c>
      <c r="H296" s="113" t="s">
        <v>1102</v>
      </c>
      <c r="I296" s="113">
        <v>3</v>
      </c>
      <c r="J296" s="113">
        <v>0</v>
      </c>
    </row>
    <row r="297" spans="2:10" x14ac:dyDescent="0.25">
      <c r="B297" s="113" t="s">
        <v>1452</v>
      </c>
      <c r="C297" s="113" t="s">
        <v>1291</v>
      </c>
      <c r="D297" s="113" t="s">
        <v>707</v>
      </c>
      <c r="E297" s="113" t="s">
        <v>707</v>
      </c>
      <c r="F297" s="113" t="s">
        <v>707</v>
      </c>
      <c r="G297" s="113" t="s">
        <v>707</v>
      </c>
      <c r="H297" s="113" t="s">
        <v>1102</v>
      </c>
      <c r="I297" s="113">
        <v>3</v>
      </c>
      <c r="J297" s="113">
        <v>0</v>
      </c>
    </row>
    <row r="298" spans="2:10" x14ac:dyDescent="0.25">
      <c r="B298" s="113" t="s">
        <v>1452</v>
      </c>
      <c r="C298" s="113" t="s">
        <v>1286</v>
      </c>
      <c r="D298" s="113" t="s">
        <v>707</v>
      </c>
      <c r="E298" s="113" t="s">
        <v>707</v>
      </c>
      <c r="F298" s="113" t="s">
        <v>707</v>
      </c>
      <c r="G298" s="113" t="s">
        <v>707</v>
      </c>
      <c r="H298" s="113" t="s">
        <v>1102</v>
      </c>
      <c r="I298" s="113">
        <v>3</v>
      </c>
      <c r="J298" s="113">
        <v>0</v>
      </c>
    </row>
    <row r="299" spans="2:10" x14ac:dyDescent="0.25">
      <c r="B299" s="113" t="s">
        <v>1452</v>
      </c>
      <c r="C299" s="113" t="s">
        <v>1284</v>
      </c>
      <c r="D299" s="113" t="s">
        <v>707</v>
      </c>
      <c r="E299" s="113" t="s">
        <v>707</v>
      </c>
      <c r="F299" s="113" t="s">
        <v>707</v>
      </c>
      <c r="G299" s="113" t="s">
        <v>707</v>
      </c>
      <c r="H299" s="113" t="s">
        <v>1102</v>
      </c>
      <c r="I299" s="113">
        <v>3</v>
      </c>
      <c r="J299" s="113">
        <v>0</v>
      </c>
    </row>
    <row r="300" spans="2:10" x14ac:dyDescent="0.25">
      <c r="B300" s="113" t="s">
        <v>1452</v>
      </c>
      <c r="C300" s="113" t="s">
        <v>1281</v>
      </c>
      <c r="D300" s="113" t="s">
        <v>707</v>
      </c>
      <c r="E300" s="113" t="s">
        <v>707</v>
      </c>
      <c r="F300" s="113" t="s">
        <v>707</v>
      </c>
      <c r="G300" s="113" t="s">
        <v>707</v>
      </c>
      <c r="H300" s="113" t="s">
        <v>1102</v>
      </c>
      <c r="I300" s="113">
        <v>3</v>
      </c>
      <c r="J300" s="113">
        <v>0</v>
      </c>
    </row>
    <row r="301" spans="2:10" x14ac:dyDescent="0.25">
      <c r="B301" s="113" t="s">
        <v>1452</v>
      </c>
      <c r="C301" s="113" t="s">
        <v>1279</v>
      </c>
      <c r="D301" s="113" t="s">
        <v>707</v>
      </c>
      <c r="E301" s="113" t="s">
        <v>707</v>
      </c>
      <c r="F301" s="113" t="s">
        <v>707</v>
      </c>
      <c r="G301" s="113" t="s">
        <v>707</v>
      </c>
      <c r="H301" s="113" t="s">
        <v>1102</v>
      </c>
      <c r="I301" s="113">
        <v>3</v>
      </c>
      <c r="J301" s="113">
        <v>0</v>
      </c>
    </row>
  </sheetData>
  <autoFilter ref="B2:J287" xr:uid="{00000000-0009-0000-0000-000028000000}"/>
  <conditionalFormatting sqref="A117:A140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2C936-A5D7-4788-A25D-38BC2DE23475}">
  <sheetPr>
    <tabColor theme="0" tint="-0.34998626667073579"/>
  </sheetPr>
  <dimension ref="A1:I235"/>
  <sheetViews>
    <sheetView topLeftCell="A199" workbookViewId="0">
      <selection activeCell="T222" sqref="T222"/>
    </sheetView>
  </sheetViews>
  <sheetFormatPr defaultColWidth="10.28515625" defaultRowHeight="15" x14ac:dyDescent="0.25"/>
  <cols>
    <col min="1" max="1" width="10.28515625" style="113"/>
    <col min="2" max="2" width="12.5703125" style="113" bestFit="1" customWidth="1"/>
    <col min="3" max="3" width="18.28515625" style="113" bestFit="1" customWidth="1"/>
    <col min="4" max="4" width="8.42578125" style="113" bestFit="1" customWidth="1"/>
    <col min="5" max="5" width="15.42578125" style="113" bestFit="1" customWidth="1"/>
    <col min="6" max="8" width="1.7109375" style="113" bestFit="1" customWidth="1"/>
    <col min="9" max="9" width="5" style="113" bestFit="1" customWidth="1"/>
    <col min="10" max="16384" width="10.28515625" style="113"/>
  </cols>
  <sheetData>
    <row r="1" spans="1:9" x14ac:dyDescent="0.25">
      <c r="A1" s="113" t="s">
        <v>1516</v>
      </c>
      <c r="B1" s="113" t="s">
        <v>1084</v>
      </c>
    </row>
    <row r="2" spans="1:9" x14ac:dyDescent="0.25">
      <c r="B2" s="113" t="s">
        <v>1111</v>
      </c>
      <c r="C2" s="113" t="s">
        <v>707</v>
      </c>
      <c r="D2" s="113" t="s">
        <v>43</v>
      </c>
      <c r="E2" s="113" t="s">
        <v>1368</v>
      </c>
      <c r="F2" s="113" t="s">
        <v>707</v>
      </c>
      <c r="G2" s="113" t="s">
        <v>707</v>
      </c>
      <c r="H2" s="113" t="s">
        <v>707</v>
      </c>
      <c r="I2" s="113">
        <v>1</v>
      </c>
    </row>
    <row r="3" spans="1:9" x14ac:dyDescent="0.25">
      <c r="B3" s="113" t="s">
        <v>1111</v>
      </c>
      <c r="C3" s="113" t="s">
        <v>707</v>
      </c>
      <c r="D3" s="113" t="s">
        <v>43</v>
      </c>
      <c r="E3" s="113" t="s">
        <v>1364</v>
      </c>
      <c r="F3" s="113" t="s">
        <v>707</v>
      </c>
      <c r="G3" s="113" t="s">
        <v>707</v>
      </c>
      <c r="H3" s="113" t="s">
        <v>707</v>
      </c>
      <c r="I3" s="113">
        <v>1</v>
      </c>
    </row>
    <row r="4" spans="1:9" x14ac:dyDescent="0.25">
      <c r="B4" s="113" t="s">
        <v>1111</v>
      </c>
      <c r="C4" s="113" t="s">
        <v>707</v>
      </c>
      <c r="D4" s="113" t="s">
        <v>43</v>
      </c>
      <c r="E4" s="113" t="s">
        <v>1392</v>
      </c>
      <c r="F4" s="113" t="s">
        <v>707</v>
      </c>
      <c r="G4" s="113" t="s">
        <v>707</v>
      </c>
      <c r="H4" s="113" t="s">
        <v>707</v>
      </c>
      <c r="I4" s="113">
        <v>1</v>
      </c>
    </row>
    <row r="5" spans="1:9" x14ac:dyDescent="0.25">
      <c r="B5" s="113" t="s">
        <v>1111</v>
      </c>
      <c r="C5" s="113" t="s">
        <v>707</v>
      </c>
      <c r="D5" s="113" t="s">
        <v>43</v>
      </c>
      <c r="E5" s="113" t="s">
        <v>1388</v>
      </c>
      <c r="F5" s="113" t="s">
        <v>707</v>
      </c>
      <c r="G5" s="113" t="s">
        <v>707</v>
      </c>
      <c r="H5" s="113" t="s">
        <v>707</v>
      </c>
      <c r="I5" s="113">
        <v>1</v>
      </c>
    </row>
    <row r="6" spans="1:9" x14ac:dyDescent="0.25">
      <c r="B6" s="113" t="s">
        <v>1111</v>
      </c>
      <c r="C6" s="113" t="s">
        <v>707</v>
      </c>
      <c r="D6" s="113" t="s">
        <v>43</v>
      </c>
      <c r="E6" s="113" t="s">
        <v>1384</v>
      </c>
      <c r="F6" s="113" t="s">
        <v>707</v>
      </c>
      <c r="G6" s="113" t="s">
        <v>707</v>
      </c>
      <c r="H6" s="113" t="s">
        <v>707</v>
      </c>
      <c r="I6" s="113">
        <v>1</v>
      </c>
    </row>
    <row r="7" spans="1:9" x14ac:dyDescent="0.25">
      <c r="B7" s="113" t="s">
        <v>1111</v>
      </c>
      <c r="C7" s="113" t="s">
        <v>707</v>
      </c>
      <c r="D7" s="113" t="s">
        <v>40</v>
      </c>
      <c r="E7" s="113" t="s">
        <v>1392</v>
      </c>
      <c r="F7" s="113" t="s">
        <v>707</v>
      </c>
      <c r="G7" s="113" t="s">
        <v>707</v>
      </c>
      <c r="H7" s="113" t="s">
        <v>707</v>
      </c>
      <c r="I7" s="113">
        <v>1</v>
      </c>
    </row>
    <row r="8" spans="1:9" x14ac:dyDescent="0.25">
      <c r="B8" s="113" t="s">
        <v>1111</v>
      </c>
      <c r="C8" s="113" t="s">
        <v>707</v>
      </c>
      <c r="D8" s="113" t="s">
        <v>40</v>
      </c>
      <c r="E8" s="113" t="s">
        <v>1388</v>
      </c>
      <c r="F8" s="113" t="s">
        <v>707</v>
      </c>
      <c r="G8" s="113" t="s">
        <v>707</v>
      </c>
      <c r="H8" s="113" t="s">
        <v>707</v>
      </c>
      <c r="I8" s="113">
        <v>1</v>
      </c>
    </row>
    <row r="9" spans="1:9" x14ac:dyDescent="0.25">
      <c r="B9" s="113" t="s">
        <v>1111</v>
      </c>
      <c r="C9" s="113" t="s">
        <v>707</v>
      </c>
      <c r="D9" s="113" t="s">
        <v>40</v>
      </c>
      <c r="E9" s="113" t="s">
        <v>1384</v>
      </c>
      <c r="F9" s="113" t="s">
        <v>707</v>
      </c>
      <c r="G9" s="113" t="s">
        <v>707</v>
      </c>
      <c r="H9" s="113" t="s">
        <v>707</v>
      </c>
      <c r="I9" s="113">
        <v>1</v>
      </c>
    </row>
    <row r="10" spans="1:9" x14ac:dyDescent="0.25">
      <c r="B10" s="113" t="s">
        <v>1111</v>
      </c>
      <c r="C10" s="113" t="s">
        <v>707</v>
      </c>
      <c r="D10" s="113" t="s">
        <v>40</v>
      </c>
      <c r="E10" s="113" t="s">
        <v>1380</v>
      </c>
      <c r="F10" s="113" t="s">
        <v>707</v>
      </c>
      <c r="G10" s="113" t="s">
        <v>707</v>
      </c>
      <c r="H10" s="113" t="s">
        <v>707</v>
      </c>
      <c r="I10" s="113">
        <v>1</v>
      </c>
    </row>
    <row r="11" spans="1:9" x14ac:dyDescent="0.25">
      <c r="B11" s="113" t="s">
        <v>1111</v>
      </c>
      <c r="C11" s="113" t="s">
        <v>707</v>
      </c>
      <c r="D11" s="113" t="s">
        <v>40</v>
      </c>
      <c r="E11" s="113" t="s">
        <v>1372</v>
      </c>
      <c r="F11" s="113" t="s">
        <v>707</v>
      </c>
      <c r="G11" s="113" t="s">
        <v>707</v>
      </c>
      <c r="H11" s="113" t="s">
        <v>707</v>
      </c>
      <c r="I11" s="113">
        <v>1</v>
      </c>
    </row>
    <row r="12" spans="1:9" x14ac:dyDescent="0.25">
      <c r="B12" s="113" t="s">
        <v>1111</v>
      </c>
      <c r="C12" s="113" t="s">
        <v>707</v>
      </c>
      <c r="D12" s="113" t="s">
        <v>40</v>
      </c>
      <c r="E12" s="113" t="s">
        <v>1368</v>
      </c>
      <c r="F12" s="113" t="s">
        <v>707</v>
      </c>
      <c r="G12" s="113" t="s">
        <v>707</v>
      </c>
      <c r="H12" s="113" t="s">
        <v>707</v>
      </c>
      <c r="I12" s="113">
        <v>1</v>
      </c>
    </row>
    <row r="13" spans="1:9" x14ac:dyDescent="0.25">
      <c r="B13" s="113" t="s">
        <v>1111</v>
      </c>
      <c r="C13" s="113" t="s">
        <v>707</v>
      </c>
      <c r="D13" s="113" t="s">
        <v>40</v>
      </c>
      <c r="E13" s="113" t="s">
        <v>1364</v>
      </c>
      <c r="F13" s="113" t="s">
        <v>707</v>
      </c>
      <c r="G13" s="113" t="s">
        <v>707</v>
      </c>
      <c r="H13" s="113" t="s">
        <v>707</v>
      </c>
      <c r="I13" s="113">
        <v>1</v>
      </c>
    </row>
    <row r="14" spans="1:9" x14ac:dyDescent="0.25">
      <c r="B14" s="113" t="s">
        <v>1111</v>
      </c>
      <c r="C14" s="113" t="s">
        <v>707</v>
      </c>
      <c r="D14" s="113" t="s">
        <v>40</v>
      </c>
      <c r="E14" s="113" t="s">
        <v>1360</v>
      </c>
      <c r="F14" s="113" t="s">
        <v>707</v>
      </c>
      <c r="G14" s="113" t="s">
        <v>707</v>
      </c>
      <c r="H14" s="113" t="s">
        <v>707</v>
      </c>
      <c r="I14" s="113">
        <v>1</v>
      </c>
    </row>
    <row r="15" spans="1:9" x14ac:dyDescent="0.25">
      <c r="B15" s="113" t="s">
        <v>1111</v>
      </c>
      <c r="C15" s="113" t="s">
        <v>707</v>
      </c>
      <c r="D15" s="113" t="s">
        <v>40</v>
      </c>
      <c r="E15" s="113" t="s">
        <v>1356</v>
      </c>
      <c r="F15" s="113" t="s">
        <v>707</v>
      </c>
      <c r="G15" s="113" t="s">
        <v>707</v>
      </c>
      <c r="H15" s="113" t="s">
        <v>707</v>
      </c>
      <c r="I15" s="113">
        <v>1</v>
      </c>
    </row>
    <row r="16" spans="1:9" x14ac:dyDescent="0.25">
      <c r="B16" s="113" t="s">
        <v>1111</v>
      </c>
      <c r="C16" s="113" t="s">
        <v>707</v>
      </c>
      <c r="D16" s="113" t="s">
        <v>42</v>
      </c>
      <c r="E16" s="113" t="s">
        <v>1390</v>
      </c>
      <c r="F16" s="113" t="s">
        <v>707</v>
      </c>
      <c r="G16" s="113" t="s">
        <v>707</v>
      </c>
      <c r="H16" s="113" t="s">
        <v>707</v>
      </c>
      <c r="I16" s="113">
        <v>1</v>
      </c>
    </row>
    <row r="17" spans="2:9" x14ac:dyDescent="0.25">
      <c r="B17" s="113" t="s">
        <v>1111</v>
      </c>
      <c r="C17" s="113" t="s">
        <v>707</v>
      </c>
      <c r="D17" s="113" t="s">
        <v>42</v>
      </c>
      <c r="E17" s="113" t="s">
        <v>1388</v>
      </c>
      <c r="F17" s="113" t="s">
        <v>707</v>
      </c>
      <c r="G17" s="113" t="s">
        <v>707</v>
      </c>
      <c r="H17" s="113" t="s">
        <v>707</v>
      </c>
      <c r="I17" s="113">
        <v>1</v>
      </c>
    </row>
    <row r="18" spans="2:9" x14ac:dyDescent="0.25">
      <c r="B18" s="113" t="s">
        <v>1111</v>
      </c>
      <c r="C18" s="113" t="s">
        <v>707</v>
      </c>
      <c r="D18" s="113" t="s">
        <v>42</v>
      </c>
      <c r="E18" s="113" t="s">
        <v>1386</v>
      </c>
      <c r="F18" s="113" t="s">
        <v>707</v>
      </c>
      <c r="G18" s="113" t="s">
        <v>707</v>
      </c>
      <c r="H18" s="113" t="s">
        <v>707</v>
      </c>
      <c r="I18" s="113">
        <v>1</v>
      </c>
    </row>
    <row r="19" spans="2:9" x14ac:dyDescent="0.25">
      <c r="B19" s="113" t="s">
        <v>1111</v>
      </c>
      <c r="C19" s="113" t="s">
        <v>707</v>
      </c>
      <c r="D19" s="113" t="s">
        <v>42</v>
      </c>
      <c r="E19" s="113" t="s">
        <v>1382</v>
      </c>
      <c r="F19" s="113" t="s">
        <v>707</v>
      </c>
      <c r="G19" s="113" t="s">
        <v>707</v>
      </c>
      <c r="H19" s="113" t="s">
        <v>707</v>
      </c>
      <c r="I19" s="113">
        <v>1</v>
      </c>
    </row>
    <row r="20" spans="2:9" x14ac:dyDescent="0.25">
      <c r="B20" s="113" t="s">
        <v>1111</v>
      </c>
      <c r="C20" s="113" t="s">
        <v>707</v>
      </c>
      <c r="D20" s="113" t="s">
        <v>42</v>
      </c>
      <c r="E20" s="113" t="s">
        <v>1378</v>
      </c>
      <c r="F20" s="113" t="s">
        <v>707</v>
      </c>
      <c r="G20" s="113" t="s">
        <v>707</v>
      </c>
      <c r="H20" s="113" t="s">
        <v>707</v>
      </c>
      <c r="I20" s="113">
        <v>1</v>
      </c>
    </row>
    <row r="21" spans="2:9" x14ac:dyDescent="0.25">
      <c r="B21" s="113" t="s">
        <v>1111</v>
      </c>
      <c r="C21" s="113" t="s">
        <v>707</v>
      </c>
      <c r="D21" s="113" t="s">
        <v>42</v>
      </c>
      <c r="E21" s="113" t="s">
        <v>1374</v>
      </c>
      <c r="F21" s="113" t="s">
        <v>707</v>
      </c>
      <c r="G21" s="113" t="s">
        <v>707</v>
      </c>
      <c r="H21" s="113" t="s">
        <v>707</v>
      </c>
      <c r="I21" s="113">
        <v>1</v>
      </c>
    </row>
    <row r="22" spans="2:9" x14ac:dyDescent="0.25">
      <c r="B22" s="113" t="s">
        <v>1111</v>
      </c>
      <c r="C22" s="113" t="s">
        <v>707</v>
      </c>
      <c r="D22" s="113" t="s">
        <v>42</v>
      </c>
      <c r="E22" s="113" t="s">
        <v>1370</v>
      </c>
      <c r="F22" s="113" t="s">
        <v>707</v>
      </c>
      <c r="G22" s="113" t="s">
        <v>707</v>
      </c>
      <c r="H22" s="113" t="s">
        <v>707</v>
      </c>
      <c r="I22" s="113">
        <v>1</v>
      </c>
    </row>
    <row r="23" spans="2:9" x14ac:dyDescent="0.25">
      <c r="B23" s="113" t="s">
        <v>1111</v>
      </c>
      <c r="C23" s="113" t="s">
        <v>707</v>
      </c>
      <c r="D23" s="113" t="s">
        <v>42</v>
      </c>
      <c r="E23" s="113" t="s">
        <v>1366</v>
      </c>
      <c r="F23" s="113" t="s">
        <v>707</v>
      </c>
      <c r="G23" s="113" t="s">
        <v>707</v>
      </c>
      <c r="H23" s="113" t="s">
        <v>707</v>
      </c>
      <c r="I23" s="113">
        <v>1</v>
      </c>
    </row>
    <row r="24" spans="2:9" x14ac:dyDescent="0.25">
      <c r="B24" s="113" t="s">
        <v>1111</v>
      </c>
      <c r="C24" s="113" t="s">
        <v>707</v>
      </c>
      <c r="D24" s="113" t="s">
        <v>42</v>
      </c>
      <c r="E24" s="113" t="s">
        <v>1362</v>
      </c>
      <c r="F24" s="113" t="s">
        <v>707</v>
      </c>
      <c r="G24" s="113" t="s">
        <v>707</v>
      </c>
      <c r="H24" s="113" t="s">
        <v>707</v>
      </c>
      <c r="I24" s="113">
        <v>1</v>
      </c>
    </row>
    <row r="25" spans="2:9" x14ac:dyDescent="0.25">
      <c r="B25" s="113" t="s">
        <v>1111</v>
      </c>
      <c r="C25" s="113" t="s">
        <v>707</v>
      </c>
      <c r="D25" s="113" t="s">
        <v>42</v>
      </c>
      <c r="E25" s="113" t="s">
        <v>1358</v>
      </c>
      <c r="F25" s="113" t="s">
        <v>707</v>
      </c>
      <c r="G25" s="113" t="s">
        <v>707</v>
      </c>
      <c r="H25" s="113" t="s">
        <v>707</v>
      </c>
      <c r="I25" s="113">
        <v>1</v>
      </c>
    </row>
    <row r="26" spans="2:9" x14ac:dyDescent="0.25">
      <c r="B26" s="113" t="s">
        <v>1111</v>
      </c>
      <c r="C26" s="113" t="s">
        <v>707</v>
      </c>
      <c r="D26" s="113" t="s">
        <v>42</v>
      </c>
      <c r="E26" s="113" t="s">
        <v>1354</v>
      </c>
      <c r="F26" s="113" t="s">
        <v>707</v>
      </c>
      <c r="G26" s="113" t="s">
        <v>707</v>
      </c>
      <c r="H26" s="113" t="s">
        <v>707</v>
      </c>
      <c r="I26" s="113">
        <v>1</v>
      </c>
    </row>
    <row r="27" spans="2:9" x14ac:dyDescent="0.25">
      <c r="B27" s="113" t="s">
        <v>1111</v>
      </c>
      <c r="C27" s="113" t="s">
        <v>707</v>
      </c>
      <c r="D27" s="113" t="s">
        <v>39</v>
      </c>
      <c r="E27" s="113" t="s">
        <v>1392</v>
      </c>
      <c r="F27" s="113" t="s">
        <v>707</v>
      </c>
      <c r="G27" s="113" t="s">
        <v>707</v>
      </c>
      <c r="H27" s="113" t="s">
        <v>707</v>
      </c>
      <c r="I27" s="113">
        <v>1</v>
      </c>
    </row>
    <row r="28" spans="2:9" x14ac:dyDescent="0.25">
      <c r="B28" s="113" t="s">
        <v>1111</v>
      </c>
      <c r="C28" s="113" t="s">
        <v>707</v>
      </c>
      <c r="D28" s="113" t="s">
        <v>39</v>
      </c>
      <c r="E28" s="113" t="s">
        <v>1388</v>
      </c>
      <c r="F28" s="113" t="s">
        <v>707</v>
      </c>
      <c r="G28" s="113" t="s">
        <v>707</v>
      </c>
      <c r="H28" s="113" t="s">
        <v>707</v>
      </c>
      <c r="I28" s="113">
        <v>1</v>
      </c>
    </row>
    <row r="29" spans="2:9" x14ac:dyDescent="0.25">
      <c r="B29" s="113" t="s">
        <v>1111</v>
      </c>
      <c r="C29" s="113" t="s">
        <v>707</v>
      </c>
      <c r="D29" s="113" t="s">
        <v>39</v>
      </c>
      <c r="E29" s="113" t="s">
        <v>1384</v>
      </c>
      <c r="F29" s="113" t="s">
        <v>707</v>
      </c>
      <c r="G29" s="113" t="s">
        <v>707</v>
      </c>
      <c r="H29" s="113" t="s">
        <v>707</v>
      </c>
      <c r="I29" s="113">
        <v>1</v>
      </c>
    </row>
    <row r="30" spans="2:9" x14ac:dyDescent="0.25">
      <c r="B30" s="113" t="s">
        <v>1111</v>
      </c>
      <c r="C30" s="113" t="s">
        <v>707</v>
      </c>
      <c r="D30" s="113" t="s">
        <v>39</v>
      </c>
      <c r="E30" s="113" t="s">
        <v>1380</v>
      </c>
      <c r="F30" s="113" t="s">
        <v>707</v>
      </c>
      <c r="G30" s="113" t="s">
        <v>707</v>
      </c>
      <c r="H30" s="113" t="s">
        <v>707</v>
      </c>
      <c r="I30" s="113">
        <v>1</v>
      </c>
    </row>
    <row r="31" spans="2:9" x14ac:dyDescent="0.25">
      <c r="B31" s="113" t="s">
        <v>1111</v>
      </c>
      <c r="C31" s="113" t="s">
        <v>707</v>
      </c>
      <c r="D31" s="113" t="s">
        <v>39</v>
      </c>
      <c r="E31" s="113" t="s">
        <v>1376</v>
      </c>
      <c r="F31" s="113" t="s">
        <v>707</v>
      </c>
      <c r="G31" s="113" t="s">
        <v>707</v>
      </c>
      <c r="H31" s="113" t="s">
        <v>707</v>
      </c>
      <c r="I31" s="113">
        <v>1</v>
      </c>
    </row>
    <row r="32" spans="2:9" x14ac:dyDescent="0.25">
      <c r="B32" s="113" t="s">
        <v>1111</v>
      </c>
      <c r="C32" s="113" t="s">
        <v>707</v>
      </c>
      <c r="D32" s="113" t="s">
        <v>39</v>
      </c>
      <c r="E32" s="113" t="s">
        <v>1372</v>
      </c>
      <c r="F32" s="113" t="s">
        <v>707</v>
      </c>
      <c r="G32" s="113" t="s">
        <v>707</v>
      </c>
      <c r="H32" s="113" t="s">
        <v>707</v>
      </c>
      <c r="I32" s="113">
        <v>1</v>
      </c>
    </row>
    <row r="33" spans="2:9" x14ac:dyDescent="0.25">
      <c r="B33" s="113" t="s">
        <v>1111</v>
      </c>
      <c r="C33" s="113" t="s">
        <v>707</v>
      </c>
      <c r="D33" s="113" t="s">
        <v>39</v>
      </c>
      <c r="E33" s="113" t="s">
        <v>1368</v>
      </c>
      <c r="F33" s="113" t="s">
        <v>707</v>
      </c>
      <c r="G33" s="113" t="s">
        <v>707</v>
      </c>
      <c r="H33" s="113" t="s">
        <v>707</v>
      </c>
      <c r="I33" s="113">
        <v>1</v>
      </c>
    </row>
    <row r="34" spans="2:9" x14ac:dyDescent="0.25">
      <c r="B34" s="113" t="s">
        <v>1111</v>
      </c>
      <c r="C34" s="113" t="s">
        <v>707</v>
      </c>
      <c r="D34" s="113" t="s">
        <v>39</v>
      </c>
      <c r="E34" s="113" t="s">
        <v>1364</v>
      </c>
      <c r="F34" s="113" t="s">
        <v>707</v>
      </c>
      <c r="G34" s="113" t="s">
        <v>707</v>
      </c>
      <c r="H34" s="113" t="s">
        <v>707</v>
      </c>
      <c r="I34" s="113">
        <v>1</v>
      </c>
    </row>
    <row r="35" spans="2:9" x14ac:dyDescent="0.25">
      <c r="B35" s="113" t="s">
        <v>1111</v>
      </c>
      <c r="C35" s="113" t="s">
        <v>707</v>
      </c>
      <c r="D35" s="113" t="s">
        <v>39</v>
      </c>
      <c r="E35" s="113" t="s">
        <v>1360</v>
      </c>
      <c r="F35" s="113" t="s">
        <v>707</v>
      </c>
      <c r="G35" s="113" t="s">
        <v>707</v>
      </c>
      <c r="H35" s="113" t="s">
        <v>707</v>
      </c>
      <c r="I35" s="113">
        <v>1</v>
      </c>
    </row>
    <row r="36" spans="2:9" x14ac:dyDescent="0.25">
      <c r="B36" s="113" t="s">
        <v>1111</v>
      </c>
      <c r="C36" s="113" t="s">
        <v>707</v>
      </c>
      <c r="D36" s="113" t="s">
        <v>39</v>
      </c>
      <c r="E36" s="113" t="s">
        <v>1356</v>
      </c>
      <c r="F36" s="113" t="s">
        <v>707</v>
      </c>
      <c r="G36" s="113" t="s">
        <v>707</v>
      </c>
      <c r="H36" s="113" t="s">
        <v>707</v>
      </c>
      <c r="I36" s="113">
        <v>1</v>
      </c>
    </row>
    <row r="37" spans="2:9" x14ac:dyDescent="0.25">
      <c r="B37" s="113" t="s">
        <v>1111</v>
      </c>
      <c r="C37" s="113" t="s">
        <v>707</v>
      </c>
      <c r="D37" s="113" t="s">
        <v>592</v>
      </c>
      <c r="E37" s="113" t="s">
        <v>1392</v>
      </c>
      <c r="F37" s="113" t="s">
        <v>707</v>
      </c>
      <c r="G37" s="113" t="s">
        <v>707</v>
      </c>
      <c r="H37" s="113" t="s">
        <v>707</v>
      </c>
      <c r="I37" s="113">
        <v>1</v>
      </c>
    </row>
    <row r="38" spans="2:9" x14ac:dyDescent="0.25">
      <c r="B38" s="113" t="s">
        <v>1111</v>
      </c>
      <c r="C38" s="113" t="s">
        <v>707</v>
      </c>
      <c r="D38" s="113" t="s">
        <v>592</v>
      </c>
      <c r="E38" s="113" t="s">
        <v>1388</v>
      </c>
      <c r="F38" s="113" t="s">
        <v>707</v>
      </c>
      <c r="G38" s="113" t="s">
        <v>707</v>
      </c>
      <c r="H38" s="113" t="s">
        <v>707</v>
      </c>
      <c r="I38" s="113">
        <v>1</v>
      </c>
    </row>
    <row r="39" spans="2:9" x14ac:dyDescent="0.25">
      <c r="B39" s="113" t="s">
        <v>1111</v>
      </c>
      <c r="C39" s="113" t="s">
        <v>707</v>
      </c>
      <c r="D39" s="113" t="s">
        <v>592</v>
      </c>
      <c r="E39" s="113" t="s">
        <v>1384</v>
      </c>
      <c r="F39" s="113" t="s">
        <v>707</v>
      </c>
      <c r="G39" s="113" t="s">
        <v>707</v>
      </c>
      <c r="H39" s="113" t="s">
        <v>707</v>
      </c>
      <c r="I39" s="113">
        <v>1</v>
      </c>
    </row>
    <row r="40" spans="2:9" x14ac:dyDescent="0.25">
      <c r="B40" s="113" t="s">
        <v>1111</v>
      </c>
      <c r="C40" s="113" t="s">
        <v>707</v>
      </c>
      <c r="D40" s="113" t="s">
        <v>592</v>
      </c>
      <c r="E40" s="113" t="s">
        <v>1380</v>
      </c>
      <c r="F40" s="113" t="s">
        <v>707</v>
      </c>
      <c r="G40" s="113" t="s">
        <v>707</v>
      </c>
      <c r="H40" s="113" t="s">
        <v>707</v>
      </c>
      <c r="I40" s="113">
        <v>1</v>
      </c>
    </row>
    <row r="41" spans="2:9" x14ac:dyDescent="0.25">
      <c r="B41" s="113" t="s">
        <v>1111</v>
      </c>
      <c r="C41" s="113" t="s">
        <v>707</v>
      </c>
      <c r="D41" s="113" t="s">
        <v>592</v>
      </c>
      <c r="E41" s="113" t="s">
        <v>1376</v>
      </c>
      <c r="F41" s="113" t="s">
        <v>707</v>
      </c>
      <c r="G41" s="113" t="s">
        <v>707</v>
      </c>
      <c r="H41" s="113" t="s">
        <v>707</v>
      </c>
      <c r="I41" s="113">
        <v>1</v>
      </c>
    </row>
    <row r="42" spans="2:9" x14ac:dyDescent="0.25">
      <c r="B42" s="113" t="s">
        <v>1111</v>
      </c>
      <c r="C42" s="113" t="s">
        <v>707</v>
      </c>
      <c r="D42" s="113" t="s">
        <v>592</v>
      </c>
      <c r="E42" s="113" t="s">
        <v>1372</v>
      </c>
      <c r="F42" s="113" t="s">
        <v>707</v>
      </c>
      <c r="G42" s="113" t="s">
        <v>707</v>
      </c>
      <c r="H42" s="113" t="s">
        <v>707</v>
      </c>
      <c r="I42" s="113">
        <v>1</v>
      </c>
    </row>
    <row r="43" spans="2:9" x14ac:dyDescent="0.25">
      <c r="B43" s="113" t="s">
        <v>1111</v>
      </c>
      <c r="C43" s="113" t="s">
        <v>707</v>
      </c>
      <c r="D43" s="113" t="s">
        <v>592</v>
      </c>
      <c r="E43" s="113" t="s">
        <v>1368</v>
      </c>
      <c r="F43" s="113" t="s">
        <v>707</v>
      </c>
      <c r="G43" s="113" t="s">
        <v>707</v>
      </c>
      <c r="H43" s="113" t="s">
        <v>707</v>
      </c>
      <c r="I43" s="113">
        <v>1</v>
      </c>
    </row>
    <row r="44" spans="2:9" x14ac:dyDescent="0.25">
      <c r="B44" s="113" t="s">
        <v>1111</v>
      </c>
      <c r="C44" s="113" t="s">
        <v>707</v>
      </c>
      <c r="D44" s="113" t="s">
        <v>592</v>
      </c>
      <c r="E44" s="113" t="s">
        <v>1364</v>
      </c>
      <c r="F44" s="113" t="s">
        <v>707</v>
      </c>
      <c r="G44" s="113" t="s">
        <v>707</v>
      </c>
      <c r="H44" s="113" t="s">
        <v>707</v>
      </c>
      <c r="I44" s="113">
        <v>1</v>
      </c>
    </row>
    <row r="45" spans="2:9" x14ac:dyDescent="0.25">
      <c r="B45" s="113" t="s">
        <v>1111</v>
      </c>
      <c r="C45" s="113" t="s">
        <v>707</v>
      </c>
      <c r="D45" s="113" t="s">
        <v>592</v>
      </c>
      <c r="E45" s="113" t="s">
        <v>1360</v>
      </c>
      <c r="F45" s="113" t="s">
        <v>707</v>
      </c>
      <c r="G45" s="113" t="s">
        <v>707</v>
      </c>
      <c r="H45" s="113" t="s">
        <v>707</v>
      </c>
      <c r="I45" s="113">
        <v>1</v>
      </c>
    </row>
    <row r="46" spans="2:9" x14ac:dyDescent="0.25">
      <c r="B46" s="113" t="s">
        <v>1111</v>
      </c>
      <c r="C46" s="113" t="s">
        <v>707</v>
      </c>
      <c r="D46" s="113" t="s">
        <v>592</v>
      </c>
      <c r="E46" s="113" t="s">
        <v>1356</v>
      </c>
      <c r="F46" s="113" t="s">
        <v>707</v>
      </c>
      <c r="G46" s="113" t="s">
        <v>707</v>
      </c>
      <c r="H46" s="113" t="s">
        <v>707</v>
      </c>
      <c r="I46" s="113">
        <v>1</v>
      </c>
    </row>
    <row r="47" spans="2:9" x14ac:dyDescent="0.25">
      <c r="B47" s="113" t="s">
        <v>1111</v>
      </c>
      <c r="C47" s="113" t="s">
        <v>707</v>
      </c>
      <c r="D47" s="113" t="s">
        <v>1337</v>
      </c>
      <c r="E47" s="113" t="s">
        <v>1392</v>
      </c>
      <c r="F47" s="113" t="s">
        <v>707</v>
      </c>
      <c r="G47" s="113" t="s">
        <v>707</v>
      </c>
      <c r="H47" s="113" t="s">
        <v>707</v>
      </c>
      <c r="I47" s="113">
        <v>1</v>
      </c>
    </row>
    <row r="48" spans="2:9" x14ac:dyDescent="0.25">
      <c r="B48" s="113" t="s">
        <v>1111</v>
      </c>
      <c r="C48" s="113" t="s">
        <v>707</v>
      </c>
      <c r="D48" s="113" t="s">
        <v>1337</v>
      </c>
      <c r="E48" s="113" t="s">
        <v>1388</v>
      </c>
      <c r="F48" s="113" t="s">
        <v>707</v>
      </c>
      <c r="G48" s="113" t="s">
        <v>707</v>
      </c>
      <c r="H48" s="113" t="s">
        <v>707</v>
      </c>
      <c r="I48" s="113">
        <v>1</v>
      </c>
    </row>
    <row r="49" spans="2:9" x14ac:dyDescent="0.25">
      <c r="B49" s="113" t="s">
        <v>1111</v>
      </c>
      <c r="C49" s="113" t="s">
        <v>707</v>
      </c>
      <c r="D49" s="113" t="s">
        <v>1337</v>
      </c>
      <c r="E49" s="113" t="s">
        <v>1380</v>
      </c>
      <c r="F49" s="113" t="s">
        <v>707</v>
      </c>
      <c r="G49" s="113" t="s">
        <v>707</v>
      </c>
      <c r="H49" s="113" t="s">
        <v>707</v>
      </c>
      <c r="I49" s="113">
        <v>1</v>
      </c>
    </row>
    <row r="50" spans="2:9" x14ac:dyDescent="0.25">
      <c r="B50" s="113" t="s">
        <v>1111</v>
      </c>
      <c r="C50" s="113" t="s">
        <v>707</v>
      </c>
      <c r="D50" s="113" t="s">
        <v>1337</v>
      </c>
      <c r="E50" s="113" t="s">
        <v>1376</v>
      </c>
      <c r="F50" s="113" t="s">
        <v>707</v>
      </c>
      <c r="G50" s="113" t="s">
        <v>707</v>
      </c>
      <c r="H50" s="113" t="s">
        <v>707</v>
      </c>
      <c r="I50" s="113">
        <v>1</v>
      </c>
    </row>
    <row r="51" spans="2:9" x14ac:dyDescent="0.25">
      <c r="B51" s="113" t="s">
        <v>1111</v>
      </c>
      <c r="C51" s="113" t="s">
        <v>707</v>
      </c>
      <c r="D51" s="113" t="s">
        <v>1337</v>
      </c>
      <c r="E51" s="113" t="s">
        <v>1372</v>
      </c>
      <c r="F51" s="113" t="s">
        <v>707</v>
      </c>
      <c r="G51" s="113" t="s">
        <v>707</v>
      </c>
      <c r="H51" s="113" t="s">
        <v>707</v>
      </c>
      <c r="I51" s="113">
        <v>1</v>
      </c>
    </row>
    <row r="52" spans="2:9" x14ac:dyDescent="0.25">
      <c r="B52" s="113" t="s">
        <v>1111</v>
      </c>
      <c r="C52" s="113" t="s">
        <v>707</v>
      </c>
      <c r="D52" s="113" t="s">
        <v>1337</v>
      </c>
      <c r="E52" s="113" t="s">
        <v>1368</v>
      </c>
      <c r="F52" s="113" t="s">
        <v>707</v>
      </c>
      <c r="G52" s="113" t="s">
        <v>707</v>
      </c>
      <c r="H52" s="113" t="s">
        <v>707</v>
      </c>
      <c r="I52" s="113">
        <v>1</v>
      </c>
    </row>
    <row r="53" spans="2:9" x14ac:dyDescent="0.25">
      <c r="B53" s="113" t="s">
        <v>1111</v>
      </c>
      <c r="C53" s="113" t="s">
        <v>707</v>
      </c>
      <c r="D53" s="113" t="s">
        <v>1337</v>
      </c>
      <c r="E53" s="113" t="s">
        <v>1364</v>
      </c>
      <c r="F53" s="113" t="s">
        <v>707</v>
      </c>
      <c r="G53" s="113" t="s">
        <v>707</v>
      </c>
      <c r="H53" s="113" t="s">
        <v>707</v>
      </c>
      <c r="I53" s="113">
        <v>1</v>
      </c>
    </row>
    <row r="54" spans="2:9" x14ac:dyDescent="0.25">
      <c r="B54" s="113" t="s">
        <v>1111</v>
      </c>
      <c r="C54" s="113" t="s">
        <v>707</v>
      </c>
      <c r="D54" s="113" t="s">
        <v>1337</v>
      </c>
      <c r="E54" s="113" t="s">
        <v>1360</v>
      </c>
      <c r="F54" s="113" t="s">
        <v>707</v>
      </c>
      <c r="G54" s="113" t="s">
        <v>707</v>
      </c>
      <c r="H54" s="113" t="s">
        <v>707</v>
      </c>
      <c r="I54" s="113">
        <v>1</v>
      </c>
    </row>
    <row r="55" spans="2:9" x14ac:dyDescent="0.25">
      <c r="B55" s="113" t="s">
        <v>1111</v>
      </c>
      <c r="C55" s="113" t="s">
        <v>707</v>
      </c>
      <c r="D55" s="113" t="s">
        <v>1337</v>
      </c>
      <c r="E55" s="113" t="s">
        <v>1356</v>
      </c>
      <c r="F55" s="113" t="s">
        <v>707</v>
      </c>
      <c r="G55" s="113" t="s">
        <v>707</v>
      </c>
      <c r="H55" s="113" t="s">
        <v>707</v>
      </c>
      <c r="I55" s="113">
        <v>1</v>
      </c>
    </row>
    <row r="56" spans="2:9" x14ac:dyDescent="0.25">
      <c r="B56" s="113" t="s">
        <v>1111</v>
      </c>
      <c r="C56" s="113" t="s">
        <v>707</v>
      </c>
      <c r="D56" s="113" t="s">
        <v>595</v>
      </c>
      <c r="E56" s="113" t="s">
        <v>1384</v>
      </c>
      <c r="F56" s="113" t="s">
        <v>707</v>
      </c>
      <c r="G56" s="113" t="s">
        <v>707</v>
      </c>
      <c r="H56" s="113" t="s">
        <v>707</v>
      </c>
      <c r="I56" s="113">
        <v>1</v>
      </c>
    </row>
    <row r="57" spans="2:9" x14ac:dyDescent="0.25">
      <c r="B57" s="113" t="s">
        <v>1111</v>
      </c>
      <c r="C57" s="113" t="s">
        <v>707</v>
      </c>
      <c r="D57" s="113" t="s">
        <v>1463</v>
      </c>
      <c r="E57" s="113" t="s">
        <v>1352</v>
      </c>
      <c r="F57" s="113" t="s">
        <v>707</v>
      </c>
      <c r="G57" s="113" t="s">
        <v>707</v>
      </c>
      <c r="H57" s="113" t="s">
        <v>707</v>
      </c>
      <c r="I57" s="113">
        <v>1</v>
      </c>
    </row>
    <row r="58" spans="2:9" x14ac:dyDescent="0.25">
      <c r="B58" s="113" t="s">
        <v>1111</v>
      </c>
      <c r="C58" s="113" t="s">
        <v>707</v>
      </c>
      <c r="D58" s="113" t="s">
        <v>1462</v>
      </c>
      <c r="E58" s="113" t="s">
        <v>1352</v>
      </c>
      <c r="F58" s="113" t="s">
        <v>707</v>
      </c>
      <c r="G58" s="113" t="s">
        <v>707</v>
      </c>
      <c r="H58" s="113" t="s">
        <v>707</v>
      </c>
      <c r="I58" s="113">
        <v>1</v>
      </c>
    </row>
    <row r="59" spans="2:9" x14ac:dyDescent="0.25">
      <c r="B59" s="113" t="s">
        <v>1108</v>
      </c>
      <c r="C59" s="113" t="s">
        <v>170</v>
      </c>
      <c r="D59" s="113" t="s">
        <v>707</v>
      </c>
      <c r="E59" s="113" t="s">
        <v>42</v>
      </c>
      <c r="F59" s="113" t="s">
        <v>707</v>
      </c>
      <c r="G59" s="113" t="s">
        <v>707</v>
      </c>
      <c r="H59" s="113" t="s">
        <v>707</v>
      </c>
      <c r="I59" s="113">
        <v>1</v>
      </c>
    </row>
    <row r="60" spans="2:9" x14ac:dyDescent="0.25">
      <c r="B60" s="113" t="s">
        <v>1108</v>
      </c>
      <c r="C60" s="113" t="s">
        <v>1306</v>
      </c>
      <c r="D60" s="113" t="s">
        <v>707</v>
      </c>
      <c r="E60" s="113" t="s">
        <v>42</v>
      </c>
      <c r="F60" s="113" t="s">
        <v>707</v>
      </c>
      <c r="G60" s="113" t="s">
        <v>707</v>
      </c>
      <c r="H60" s="113" t="s">
        <v>707</v>
      </c>
      <c r="I60" s="113">
        <v>1</v>
      </c>
    </row>
    <row r="61" spans="2:9" x14ac:dyDescent="0.25">
      <c r="B61" s="113" t="s">
        <v>1108</v>
      </c>
      <c r="C61" s="113" t="s">
        <v>1304</v>
      </c>
      <c r="D61" s="113" t="s">
        <v>707</v>
      </c>
      <c r="E61" s="113" t="s">
        <v>42</v>
      </c>
      <c r="F61" s="113" t="s">
        <v>707</v>
      </c>
      <c r="G61" s="113" t="s">
        <v>707</v>
      </c>
      <c r="H61" s="113" t="s">
        <v>707</v>
      </c>
      <c r="I61" s="113">
        <v>1</v>
      </c>
    </row>
    <row r="62" spans="2:9" x14ac:dyDescent="0.25">
      <c r="B62" s="113" t="s">
        <v>1108</v>
      </c>
      <c r="C62" s="113" t="s">
        <v>539</v>
      </c>
      <c r="D62" s="113" t="s">
        <v>707</v>
      </c>
      <c r="E62" s="113" t="s">
        <v>42</v>
      </c>
      <c r="F62" s="113" t="s">
        <v>707</v>
      </c>
      <c r="G62" s="113" t="s">
        <v>707</v>
      </c>
      <c r="H62" s="113" t="s">
        <v>707</v>
      </c>
      <c r="I62" s="113">
        <v>1</v>
      </c>
    </row>
    <row r="63" spans="2:9" x14ac:dyDescent="0.25">
      <c r="B63" s="113" t="s">
        <v>1108</v>
      </c>
      <c r="C63" s="113" t="s">
        <v>172</v>
      </c>
      <c r="D63" s="113" t="s">
        <v>707</v>
      </c>
      <c r="E63" s="113" t="s">
        <v>42</v>
      </c>
      <c r="F63" s="113" t="s">
        <v>707</v>
      </c>
      <c r="G63" s="113" t="s">
        <v>707</v>
      </c>
      <c r="H63" s="113" t="s">
        <v>707</v>
      </c>
      <c r="I63" s="113">
        <v>1</v>
      </c>
    </row>
    <row r="64" spans="2:9" x14ac:dyDescent="0.25">
      <c r="B64" s="113" t="s">
        <v>1108</v>
      </c>
      <c r="C64" s="113" t="s">
        <v>1300</v>
      </c>
      <c r="D64" s="113" t="s">
        <v>707</v>
      </c>
      <c r="E64" s="113" t="s">
        <v>42</v>
      </c>
      <c r="F64" s="113" t="s">
        <v>707</v>
      </c>
      <c r="G64" s="113" t="s">
        <v>707</v>
      </c>
      <c r="H64" s="113" t="s">
        <v>707</v>
      </c>
      <c r="I64" s="113">
        <v>1</v>
      </c>
    </row>
    <row r="65" spans="2:9" x14ac:dyDescent="0.25">
      <c r="B65" s="113" t="s">
        <v>1108</v>
      </c>
      <c r="C65" s="113" t="s">
        <v>1298</v>
      </c>
      <c r="D65" s="113" t="s">
        <v>707</v>
      </c>
      <c r="E65" s="113" t="s">
        <v>42</v>
      </c>
      <c r="F65" s="113" t="s">
        <v>707</v>
      </c>
      <c r="G65" s="113" t="s">
        <v>707</v>
      </c>
      <c r="H65" s="113" t="s">
        <v>707</v>
      </c>
      <c r="I65" s="113">
        <v>1</v>
      </c>
    </row>
    <row r="66" spans="2:9" x14ac:dyDescent="0.25">
      <c r="B66" s="113" t="s">
        <v>1108</v>
      </c>
      <c r="C66" s="113" t="s">
        <v>1296</v>
      </c>
      <c r="D66" s="113" t="s">
        <v>707</v>
      </c>
      <c r="E66" s="113" t="s">
        <v>43</v>
      </c>
      <c r="F66" s="113" t="s">
        <v>707</v>
      </c>
      <c r="G66" s="113" t="s">
        <v>707</v>
      </c>
      <c r="H66" s="113" t="s">
        <v>707</v>
      </c>
      <c r="I66" s="113">
        <v>1</v>
      </c>
    </row>
    <row r="67" spans="2:9" x14ac:dyDescent="0.25">
      <c r="B67" s="113" t="s">
        <v>1108</v>
      </c>
      <c r="C67" s="113" t="s">
        <v>175</v>
      </c>
      <c r="D67" s="113" t="s">
        <v>707</v>
      </c>
      <c r="E67" s="113" t="s">
        <v>42</v>
      </c>
      <c r="F67" s="113" t="s">
        <v>707</v>
      </c>
      <c r="G67" s="113" t="s">
        <v>707</v>
      </c>
      <c r="H67" s="113" t="s">
        <v>707</v>
      </c>
      <c r="I67" s="113">
        <v>1</v>
      </c>
    </row>
    <row r="68" spans="2:9" x14ac:dyDescent="0.25">
      <c r="B68" s="113" t="s">
        <v>1108</v>
      </c>
      <c r="C68" s="113" t="s">
        <v>1293</v>
      </c>
      <c r="D68" s="113" t="s">
        <v>707</v>
      </c>
      <c r="E68" s="113" t="s">
        <v>42</v>
      </c>
      <c r="F68" s="113" t="s">
        <v>707</v>
      </c>
      <c r="G68" s="113" t="s">
        <v>707</v>
      </c>
      <c r="H68" s="113" t="s">
        <v>707</v>
      </c>
      <c r="I68" s="113">
        <v>1</v>
      </c>
    </row>
    <row r="69" spans="2:9" x14ac:dyDescent="0.25">
      <c r="B69" s="113" t="s">
        <v>1108</v>
      </c>
      <c r="C69" s="113" t="s">
        <v>1291</v>
      </c>
      <c r="D69" s="113" t="s">
        <v>707</v>
      </c>
      <c r="E69" s="113" t="s">
        <v>42</v>
      </c>
      <c r="F69" s="113" t="s">
        <v>707</v>
      </c>
      <c r="G69" s="113" t="s">
        <v>707</v>
      </c>
      <c r="H69" s="113" t="s">
        <v>707</v>
      </c>
      <c r="I69" s="113">
        <v>1</v>
      </c>
    </row>
    <row r="70" spans="2:9" x14ac:dyDescent="0.25">
      <c r="B70" s="113" t="s">
        <v>1108</v>
      </c>
      <c r="C70" s="113" t="s">
        <v>540</v>
      </c>
      <c r="D70" s="113" t="s">
        <v>707</v>
      </c>
      <c r="E70" s="113" t="s">
        <v>42</v>
      </c>
      <c r="F70" s="113" t="s">
        <v>707</v>
      </c>
      <c r="G70" s="113" t="s">
        <v>707</v>
      </c>
      <c r="H70" s="113" t="s">
        <v>707</v>
      </c>
      <c r="I70" s="113">
        <v>1</v>
      </c>
    </row>
    <row r="71" spans="2:9" x14ac:dyDescent="0.25">
      <c r="B71" s="113" t="s">
        <v>1108</v>
      </c>
      <c r="C71" s="113" t="s">
        <v>541</v>
      </c>
      <c r="D71" s="113" t="s">
        <v>707</v>
      </c>
      <c r="E71" s="113" t="s">
        <v>42</v>
      </c>
      <c r="F71" s="113" t="s">
        <v>707</v>
      </c>
      <c r="G71" s="113" t="s">
        <v>707</v>
      </c>
      <c r="H71" s="113" t="s">
        <v>707</v>
      </c>
      <c r="I71" s="113">
        <v>1</v>
      </c>
    </row>
    <row r="72" spans="2:9" x14ac:dyDescent="0.25">
      <c r="B72" s="113" t="s">
        <v>1108</v>
      </c>
      <c r="C72" s="113" t="s">
        <v>179</v>
      </c>
      <c r="D72" s="113" t="s">
        <v>707</v>
      </c>
      <c r="E72" s="113" t="s">
        <v>42</v>
      </c>
      <c r="F72" s="113" t="s">
        <v>707</v>
      </c>
      <c r="G72" s="113" t="s">
        <v>707</v>
      </c>
      <c r="H72" s="113" t="s">
        <v>707</v>
      </c>
      <c r="I72" s="113">
        <v>1</v>
      </c>
    </row>
    <row r="73" spans="2:9" x14ac:dyDescent="0.25">
      <c r="B73" s="113" t="s">
        <v>1108</v>
      </c>
      <c r="C73" s="113" t="s">
        <v>1286</v>
      </c>
      <c r="D73" s="113" t="s">
        <v>707</v>
      </c>
      <c r="E73" s="113" t="s">
        <v>42</v>
      </c>
      <c r="F73" s="113" t="s">
        <v>707</v>
      </c>
      <c r="G73" s="113" t="s">
        <v>707</v>
      </c>
      <c r="H73" s="113" t="s">
        <v>707</v>
      </c>
      <c r="I73" s="113">
        <v>1</v>
      </c>
    </row>
    <row r="74" spans="2:9" x14ac:dyDescent="0.25">
      <c r="B74" s="113" t="s">
        <v>1108</v>
      </c>
      <c r="C74" s="113" t="s">
        <v>1284</v>
      </c>
      <c r="D74" s="113" t="s">
        <v>707</v>
      </c>
      <c r="E74" s="113" t="s">
        <v>42</v>
      </c>
      <c r="F74" s="113" t="s">
        <v>707</v>
      </c>
      <c r="G74" s="113" t="s">
        <v>707</v>
      </c>
      <c r="H74" s="113" t="s">
        <v>707</v>
      </c>
      <c r="I74" s="113">
        <v>1</v>
      </c>
    </row>
    <row r="75" spans="2:9" x14ac:dyDescent="0.25">
      <c r="B75" s="113" t="s">
        <v>1108</v>
      </c>
      <c r="C75" s="113" t="s">
        <v>181</v>
      </c>
      <c r="D75" s="113" t="s">
        <v>707</v>
      </c>
      <c r="E75" s="113" t="s">
        <v>42</v>
      </c>
      <c r="F75" s="113" t="s">
        <v>707</v>
      </c>
      <c r="G75" s="113" t="s">
        <v>707</v>
      </c>
      <c r="H75" s="113" t="s">
        <v>707</v>
      </c>
      <c r="I75" s="113">
        <v>1</v>
      </c>
    </row>
    <row r="76" spans="2:9" x14ac:dyDescent="0.25">
      <c r="B76" s="113" t="s">
        <v>1108</v>
      </c>
      <c r="C76" s="113" t="s">
        <v>1281</v>
      </c>
      <c r="D76" s="113" t="s">
        <v>707</v>
      </c>
      <c r="E76" s="113" t="s">
        <v>42</v>
      </c>
      <c r="F76" s="113" t="s">
        <v>707</v>
      </c>
      <c r="G76" s="113" t="s">
        <v>707</v>
      </c>
      <c r="H76" s="113" t="s">
        <v>707</v>
      </c>
      <c r="I76" s="113">
        <v>1</v>
      </c>
    </row>
    <row r="77" spans="2:9" x14ac:dyDescent="0.25">
      <c r="B77" s="113" t="s">
        <v>1108</v>
      </c>
      <c r="C77" s="113" t="s">
        <v>1279</v>
      </c>
      <c r="D77" s="113" t="s">
        <v>707</v>
      </c>
      <c r="E77" s="113" t="s">
        <v>42</v>
      </c>
      <c r="F77" s="113" t="s">
        <v>707</v>
      </c>
      <c r="G77" s="113" t="s">
        <v>707</v>
      </c>
      <c r="H77" s="113" t="s">
        <v>707</v>
      </c>
      <c r="I77" s="113">
        <v>1</v>
      </c>
    </row>
    <row r="78" spans="2:9" x14ac:dyDescent="0.25">
      <c r="B78" s="113" t="s">
        <v>1108</v>
      </c>
      <c r="C78" s="113" t="s">
        <v>542</v>
      </c>
      <c r="D78" s="113" t="s">
        <v>707</v>
      </c>
      <c r="E78" s="113" t="s">
        <v>42</v>
      </c>
      <c r="F78" s="113" t="s">
        <v>707</v>
      </c>
      <c r="G78" s="113" t="s">
        <v>707</v>
      </c>
      <c r="H78" s="113" t="s">
        <v>707</v>
      </c>
      <c r="I78" s="113">
        <v>1</v>
      </c>
    </row>
    <row r="79" spans="2:9" x14ac:dyDescent="0.25">
      <c r="B79" s="113" t="s">
        <v>1108</v>
      </c>
      <c r="C79" s="113" t="s">
        <v>1276</v>
      </c>
      <c r="D79" s="113" t="s">
        <v>707</v>
      </c>
      <c r="E79" s="113" t="s">
        <v>1350</v>
      </c>
      <c r="F79" s="113" t="s">
        <v>707</v>
      </c>
      <c r="G79" s="113" t="s">
        <v>707</v>
      </c>
      <c r="H79" s="113" t="s">
        <v>707</v>
      </c>
      <c r="I79" s="113">
        <v>1</v>
      </c>
    </row>
    <row r="80" spans="2:9" x14ac:dyDescent="0.25">
      <c r="B80" s="113" t="s">
        <v>1108</v>
      </c>
      <c r="C80" s="113" t="s">
        <v>1274</v>
      </c>
      <c r="D80" s="113" t="s">
        <v>707</v>
      </c>
      <c r="E80" s="113" t="s">
        <v>1325</v>
      </c>
      <c r="F80" s="113" t="s">
        <v>707</v>
      </c>
      <c r="G80" s="113" t="s">
        <v>707</v>
      </c>
      <c r="H80" s="113" t="s">
        <v>707</v>
      </c>
      <c r="I80" s="113">
        <v>1</v>
      </c>
    </row>
    <row r="81" spans="2:9" x14ac:dyDescent="0.25">
      <c r="B81" s="113" t="s">
        <v>1108</v>
      </c>
      <c r="C81" s="113" t="s">
        <v>1272</v>
      </c>
      <c r="D81" s="113" t="s">
        <v>707</v>
      </c>
      <c r="E81" s="113" t="s">
        <v>40</v>
      </c>
      <c r="F81" s="113" t="s">
        <v>707</v>
      </c>
      <c r="G81" s="113" t="s">
        <v>707</v>
      </c>
      <c r="H81" s="113" t="s">
        <v>707</v>
      </c>
      <c r="I81" s="113">
        <v>1</v>
      </c>
    </row>
    <row r="82" spans="2:9" x14ac:dyDescent="0.25">
      <c r="B82" s="113" t="s">
        <v>1108</v>
      </c>
      <c r="C82" s="113" t="s">
        <v>1270</v>
      </c>
      <c r="D82" s="113" t="s">
        <v>707</v>
      </c>
      <c r="E82" s="113" t="s">
        <v>592</v>
      </c>
      <c r="F82" s="113" t="s">
        <v>707</v>
      </c>
      <c r="G82" s="113" t="s">
        <v>707</v>
      </c>
      <c r="H82" s="113" t="s">
        <v>707</v>
      </c>
      <c r="I82" s="113">
        <v>1</v>
      </c>
    </row>
    <row r="83" spans="2:9" x14ac:dyDescent="0.25">
      <c r="B83" s="113" t="s">
        <v>1108</v>
      </c>
      <c r="C83" s="113" t="s">
        <v>1268</v>
      </c>
      <c r="D83" s="113" t="s">
        <v>707</v>
      </c>
      <c r="E83" s="113" t="s">
        <v>1337</v>
      </c>
      <c r="F83" s="113" t="s">
        <v>707</v>
      </c>
      <c r="G83" s="113" t="s">
        <v>707</v>
      </c>
      <c r="H83" s="113" t="s">
        <v>707</v>
      </c>
      <c r="I83" s="113">
        <v>1</v>
      </c>
    </row>
    <row r="84" spans="2:9" x14ac:dyDescent="0.25">
      <c r="B84" s="113" t="s">
        <v>1108</v>
      </c>
      <c r="C84" s="113" t="s">
        <v>1266</v>
      </c>
      <c r="D84" s="113" t="s">
        <v>707</v>
      </c>
      <c r="E84" s="113" t="s">
        <v>595</v>
      </c>
      <c r="F84" s="113" t="s">
        <v>707</v>
      </c>
      <c r="G84" s="113" t="s">
        <v>707</v>
      </c>
      <c r="H84" s="113" t="s">
        <v>707</v>
      </c>
      <c r="I84" s="113">
        <v>1</v>
      </c>
    </row>
    <row r="85" spans="2:9" x14ac:dyDescent="0.25">
      <c r="B85" s="113" t="s">
        <v>1108</v>
      </c>
      <c r="C85" s="113" t="s">
        <v>1264</v>
      </c>
      <c r="D85" s="113" t="s">
        <v>707</v>
      </c>
      <c r="E85" s="113" t="s">
        <v>41</v>
      </c>
      <c r="F85" s="113" t="s">
        <v>707</v>
      </c>
      <c r="G85" s="113" t="s">
        <v>707</v>
      </c>
      <c r="H85" s="113" t="s">
        <v>707</v>
      </c>
      <c r="I85" s="113">
        <v>1</v>
      </c>
    </row>
    <row r="86" spans="2:9" x14ac:dyDescent="0.25">
      <c r="B86" s="113" t="s">
        <v>1108</v>
      </c>
      <c r="C86" s="113" t="s">
        <v>1262</v>
      </c>
      <c r="D86" s="113" t="s">
        <v>707</v>
      </c>
      <c r="E86" s="113" t="s">
        <v>1335</v>
      </c>
      <c r="F86" s="113" t="s">
        <v>707</v>
      </c>
      <c r="G86" s="113" t="s">
        <v>707</v>
      </c>
      <c r="H86" s="113" t="s">
        <v>707</v>
      </c>
      <c r="I86" s="113">
        <v>1</v>
      </c>
    </row>
    <row r="87" spans="2:9" x14ac:dyDescent="0.25">
      <c r="B87" s="113" t="s">
        <v>1107</v>
      </c>
      <c r="C87" s="113" t="s">
        <v>170</v>
      </c>
      <c r="D87" s="113" t="s">
        <v>707</v>
      </c>
      <c r="E87" s="113" t="s">
        <v>707</v>
      </c>
      <c r="F87" s="113" t="s">
        <v>707</v>
      </c>
      <c r="G87" s="113" t="s">
        <v>707</v>
      </c>
      <c r="H87" s="113" t="s">
        <v>707</v>
      </c>
      <c r="I87" s="113">
        <v>1</v>
      </c>
    </row>
    <row r="88" spans="2:9" x14ac:dyDescent="0.25">
      <c r="B88" s="113" t="s">
        <v>1107</v>
      </c>
      <c r="C88" s="113" t="s">
        <v>1306</v>
      </c>
      <c r="D88" s="113" t="s">
        <v>707</v>
      </c>
      <c r="E88" s="113" t="s">
        <v>707</v>
      </c>
      <c r="F88" s="113" t="s">
        <v>707</v>
      </c>
      <c r="G88" s="113" t="s">
        <v>707</v>
      </c>
      <c r="H88" s="113" t="s">
        <v>707</v>
      </c>
      <c r="I88" s="113">
        <v>1</v>
      </c>
    </row>
    <row r="89" spans="2:9" x14ac:dyDescent="0.25">
      <c r="B89" s="113" t="s">
        <v>1107</v>
      </c>
      <c r="C89" s="113" t="s">
        <v>1304</v>
      </c>
      <c r="D89" s="113" t="s">
        <v>707</v>
      </c>
      <c r="E89" s="113" t="s">
        <v>707</v>
      </c>
      <c r="F89" s="113" t="s">
        <v>707</v>
      </c>
      <c r="G89" s="113" t="s">
        <v>707</v>
      </c>
      <c r="H89" s="113" t="s">
        <v>707</v>
      </c>
      <c r="I89" s="113">
        <v>1</v>
      </c>
    </row>
    <row r="90" spans="2:9" x14ac:dyDescent="0.25">
      <c r="B90" s="113" t="s">
        <v>1107</v>
      </c>
      <c r="C90" s="113" t="s">
        <v>539</v>
      </c>
      <c r="D90" s="113" t="s">
        <v>707</v>
      </c>
      <c r="E90" s="113" t="s">
        <v>707</v>
      </c>
      <c r="F90" s="113" t="s">
        <v>707</v>
      </c>
      <c r="G90" s="113" t="s">
        <v>707</v>
      </c>
      <c r="H90" s="113" t="s">
        <v>707</v>
      </c>
      <c r="I90" s="113">
        <v>1</v>
      </c>
    </row>
    <row r="91" spans="2:9" x14ac:dyDescent="0.25">
      <c r="B91" s="113" t="s">
        <v>1107</v>
      </c>
      <c r="C91" s="113" t="s">
        <v>172</v>
      </c>
      <c r="D91" s="113" t="s">
        <v>707</v>
      </c>
      <c r="E91" s="113" t="s">
        <v>707</v>
      </c>
      <c r="F91" s="113" t="s">
        <v>707</v>
      </c>
      <c r="G91" s="113" t="s">
        <v>707</v>
      </c>
      <c r="H91" s="113" t="s">
        <v>707</v>
      </c>
      <c r="I91" s="113">
        <v>1</v>
      </c>
    </row>
    <row r="92" spans="2:9" x14ac:dyDescent="0.25">
      <c r="B92" s="113" t="s">
        <v>1107</v>
      </c>
      <c r="C92" s="113" t="s">
        <v>1300</v>
      </c>
      <c r="D92" s="113" t="s">
        <v>707</v>
      </c>
      <c r="E92" s="113" t="s">
        <v>707</v>
      </c>
      <c r="F92" s="113" t="s">
        <v>707</v>
      </c>
      <c r="G92" s="113" t="s">
        <v>707</v>
      </c>
      <c r="H92" s="113" t="s">
        <v>707</v>
      </c>
      <c r="I92" s="113">
        <v>1</v>
      </c>
    </row>
    <row r="93" spans="2:9" x14ac:dyDescent="0.25">
      <c r="B93" s="113" t="s">
        <v>1107</v>
      </c>
      <c r="C93" s="113" t="s">
        <v>1298</v>
      </c>
      <c r="D93" s="113" t="s">
        <v>707</v>
      </c>
      <c r="E93" s="113" t="s">
        <v>707</v>
      </c>
      <c r="F93" s="113" t="s">
        <v>707</v>
      </c>
      <c r="G93" s="113" t="s">
        <v>707</v>
      </c>
      <c r="H93" s="113" t="s">
        <v>707</v>
      </c>
      <c r="I93" s="113">
        <v>1</v>
      </c>
    </row>
    <row r="94" spans="2:9" x14ac:dyDescent="0.25">
      <c r="B94" s="113" t="s">
        <v>1107</v>
      </c>
      <c r="C94" s="113" t="s">
        <v>1296</v>
      </c>
      <c r="D94" s="113" t="s">
        <v>707</v>
      </c>
      <c r="E94" s="113" t="s">
        <v>707</v>
      </c>
      <c r="F94" s="113" t="s">
        <v>707</v>
      </c>
      <c r="G94" s="113" t="s">
        <v>707</v>
      </c>
      <c r="H94" s="113" t="s">
        <v>707</v>
      </c>
      <c r="I94" s="113">
        <v>1</v>
      </c>
    </row>
    <row r="95" spans="2:9" x14ac:dyDescent="0.25">
      <c r="B95" s="113" t="s">
        <v>1107</v>
      </c>
      <c r="C95" s="113" t="s">
        <v>175</v>
      </c>
      <c r="D95" s="113" t="s">
        <v>707</v>
      </c>
      <c r="E95" s="113" t="s">
        <v>707</v>
      </c>
      <c r="F95" s="113" t="s">
        <v>707</v>
      </c>
      <c r="G95" s="113" t="s">
        <v>707</v>
      </c>
      <c r="H95" s="113" t="s">
        <v>707</v>
      </c>
      <c r="I95" s="113">
        <v>1</v>
      </c>
    </row>
    <row r="96" spans="2:9" x14ac:dyDescent="0.25">
      <c r="B96" s="113" t="s">
        <v>1107</v>
      </c>
      <c r="C96" s="113" t="s">
        <v>1293</v>
      </c>
      <c r="D96" s="113" t="s">
        <v>707</v>
      </c>
      <c r="E96" s="113" t="s">
        <v>707</v>
      </c>
      <c r="F96" s="113" t="s">
        <v>707</v>
      </c>
      <c r="G96" s="113" t="s">
        <v>707</v>
      </c>
      <c r="H96" s="113" t="s">
        <v>707</v>
      </c>
      <c r="I96" s="113">
        <v>1</v>
      </c>
    </row>
    <row r="97" spans="2:9" x14ac:dyDescent="0.25">
      <c r="B97" s="113" t="s">
        <v>1107</v>
      </c>
      <c r="C97" s="113" t="s">
        <v>1291</v>
      </c>
      <c r="D97" s="113" t="s">
        <v>707</v>
      </c>
      <c r="E97" s="113" t="s">
        <v>707</v>
      </c>
      <c r="F97" s="113" t="s">
        <v>707</v>
      </c>
      <c r="G97" s="113" t="s">
        <v>707</v>
      </c>
      <c r="H97" s="113" t="s">
        <v>707</v>
      </c>
      <c r="I97" s="113">
        <v>1</v>
      </c>
    </row>
    <row r="98" spans="2:9" x14ac:dyDescent="0.25">
      <c r="B98" s="113" t="s">
        <v>1107</v>
      </c>
      <c r="C98" s="113" t="s">
        <v>540</v>
      </c>
      <c r="D98" s="113" t="s">
        <v>707</v>
      </c>
      <c r="E98" s="113" t="s">
        <v>707</v>
      </c>
      <c r="F98" s="113" t="s">
        <v>707</v>
      </c>
      <c r="G98" s="113" t="s">
        <v>707</v>
      </c>
      <c r="H98" s="113" t="s">
        <v>707</v>
      </c>
      <c r="I98" s="113">
        <v>1</v>
      </c>
    </row>
    <row r="99" spans="2:9" x14ac:dyDescent="0.25">
      <c r="B99" s="113" t="s">
        <v>1107</v>
      </c>
      <c r="C99" s="113" t="s">
        <v>541</v>
      </c>
      <c r="D99" s="113" t="s">
        <v>707</v>
      </c>
      <c r="E99" s="113" t="s">
        <v>707</v>
      </c>
      <c r="F99" s="113" t="s">
        <v>707</v>
      </c>
      <c r="G99" s="113" t="s">
        <v>707</v>
      </c>
      <c r="H99" s="113" t="s">
        <v>707</v>
      </c>
      <c r="I99" s="113">
        <v>1</v>
      </c>
    </row>
    <row r="100" spans="2:9" x14ac:dyDescent="0.25">
      <c r="B100" s="113" t="s">
        <v>1107</v>
      </c>
      <c r="C100" s="113" t="s">
        <v>179</v>
      </c>
      <c r="D100" s="113" t="s">
        <v>707</v>
      </c>
      <c r="E100" s="113" t="s">
        <v>707</v>
      </c>
      <c r="F100" s="113" t="s">
        <v>707</v>
      </c>
      <c r="G100" s="113" t="s">
        <v>707</v>
      </c>
      <c r="H100" s="113" t="s">
        <v>707</v>
      </c>
      <c r="I100" s="113">
        <v>1</v>
      </c>
    </row>
    <row r="101" spans="2:9" x14ac:dyDescent="0.25">
      <c r="B101" s="113" t="s">
        <v>1107</v>
      </c>
      <c r="C101" s="113" t="s">
        <v>1286</v>
      </c>
      <c r="D101" s="113" t="s">
        <v>707</v>
      </c>
      <c r="E101" s="113" t="s">
        <v>707</v>
      </c>
      <c r="F101" s="113" t="s">
        <v>707</v>
      </c>
      <c r="G101" s="113" t="s">
        <v>707</v>
      </c>
      <c r="H101" s="113" t="s">
        <v>707</v>
      </c>
      <c r="I101" s="113">
        <v>1</v>
      </c>
    </row>
    <row r="102" spans="2:9" x14ac:dyDescent="0.25">
      <c r="B102" s="113" t="s">
        <v>1107</v>
      </c>
      <c r="C102" s="113" t="s">
        <v>1284</v>
      </c>
      <c r="D102" s="113" t="s">
        <v>707</v>
      </c>
      <c r="E102" s="113" t="s">
        <v>707</v>
      </c>
      <c r="F102" s="113" t="s">
        <v>707</v>
      </c>
      <c r="G102" s="113" t="s">
        <v>707</v>
      </c>
      <c r="H102" s="113" t="s">
        <v>707</v>
      </c>
      <c r="I102" s="113">
        <v>1</v>
      </c>
    </row>
    <row r="103" spans="2:9" x14ac:dyDescent="0.25">
      <c r="B103" s="113" t="s">
        <v>1107</v>
      </c>
      <c r="C103" s="113" t="s">
        <v>181</v>
      </c>
      <c r="D103" s="113" t="s">
        <v>707</v>
      </c>
      <c r="E103" s="113" t="s">
        <v>707</v>
      </c>
      <c r="F103" s="113" t="s">
        <v>707</v>
      </c>
      <c r="G103" s="113" t="s">
        <v>707</v>
      </c>
      <c r="H103" s="113" t="s">
        <v>707</v>
      </c>
      <c r="I103" s="113">
        <v>1</v>
      </c>
    </row>
    <row r="104" spans="2:9" x14ac:dyDescent="0.25">
      <c r="B104" s="113" t="s">
        <v>1107</v>
      </c>
      <c r="C104" s="113" t="s">
        <v>1281</v>
      </c>
      <c r="D104" s="113" t="s">
        <v>707</v>
      </c>
      <c r="E104" s="113" t="s">
        <v>707</v>
      </c>
      <c r="F104" s="113" t="s">
        <v>707</v>
      </c>
      <c r="G104" s="113" t="s">
        <v>707</v>
      </c>
      <c r="H104" s="113" t="s">
        <v>707</v>
      </c>
      <c r="I104" s="113">
        <v>1</v>
      </c>
    </row>
    <row r="105" spans="2:9" x14ac:dyDescent="0.25">
      <c r="B105" s="113" t="s">
        <v>1107</v>
      </c>
      <c r="C105" s="113" t="s">
        <v>1279</v>
      </c>
      <c r="D105" s="113" t="s">
        <v>707</v>
      </c>
      <c r="E105" s="113" t="s">
        <v>707</v>
      </c>
      <c r="F105" s="113" t="s">
        <v>707</v>
      </c>
      <c r="G105" s="113" t="s">
        <v>707</v>
      </c>
      <c r="H105" s="113" t="s">
        <v>707</v>
      </c>
      <c r="I105" s="113">
        <v>1</v>
      </c>
    </row>
    <row r="106" spans="2:9" x14ac:dyDescent="0.25">
      <c r="B106" s="113" t="s">
        <v>1107</v>
      </c>
      <c r="C106" s="113" t="s">
        <v>542</v>
      </c>
      <c r="D106" s="113" t="s">
        <v>707</v>
      </c>
      <c r="E106" s="113" t="s">
        <v>707</v>
      </c>
      <c r="F106" s="113" t="s">
        <v>707</v>
      </c>
      <c r="G106" s="113" t="s">
        <v>707</v>
      </c>
      <c r="H106" s="113" t="s">
        <v>707</v>
      </c>
      <c r="I106" s="113">
        <v>1</v>
      </c>
    </row>
    <row r="107" spans="2:9" x14ac:dyDescent="0.25">
      <c r="B107" s="113" t="s">
        <v>1107</v>
      </c>
      <c r="C107" s="113" t="s">
        <v>1276</v>
      </c>
      <c r="D107" s="113" t="s">
        <v>707</v>
      </c>
      <c r="E107" s="113" t="s">
        <v>707</v>
      </c>
      <c r="F107" s="113" t="s">
        <v>707</v>
      </c>
      <c r="G107" s="113" t="s">
        <v>707</v>
      </c>
      <c r="H107" s="113" t="s">
        <v>707</v>
      </c>
      <c r="I107" s="113">
        <v>1</v>
      </c>
    </row>
    <row r="108" spans="2:9" x14ac:dyDescent="0.25">
      <c r="B108" s="113" t="s">
        <v>1107</v>
      </c>
      <c r="C108" s="113" t="s">
        <v>1274</v>
      </c>
      <c r="D108" s="113" t="s">
        <v>707</v>
      </c>
      <c r="E108" s="113" t="s">
        <v>707</v>
      </c>
      <c r="F108" s="113" t="s">
        <v>707</v>
      </c>
      <c r="G108" s="113" t="s">
        <v>707</v>
      </c>
      <c r="H108" s="113" t="s">
        <v>707</v>
      </c>
      <c r="I108" s="113">
        <v>1</v>
      </c>
    </row>
    <row r="109" spans="2:9" x14ac:dyDescent="0.25">
      <c r="B109" s="113" t="s">
        <v>1107</v>
      </c>
      <c r="C109" s="113" t="s">
        <v>1272</v>
      </c>
      <c r="D109" s="113" t="s">
        <v>707</v>
      </c>
      <c r="E109" s="113" t="s">
        <v>707</v>
      </c>
      <c r="F109" s="113" t="s">
        <v>707</v>
      </c>
      <c r="G109" s="113" t="s">
        <v>707</v>
      </c>
      <c r="H109" s="113" t="s">
        <v>707</v>
      </c>
      <c r="I109" s="113">
        <v>1</v>
      </c>
    </row>
    <row r="110" spans="2:9" x14ac:dyDescent="0.25">
      <c r="B110" s="113" t="s">
        <v>1107</v>
      </c>
      <c r="C110" s="113" t="s">
        <v>1270</v>
      </c>
      <c r="D110" s="113" t="s">
        <v>707</v>
      </c>
      <c r="E110" s="113" t="s">
        <v>707</v>
      </c>
      <c r="F110" s="113" t="s">
        <v>707</v>
      </c>
      <c r="G110" s="113" t="s">
        <v>707</v>
      </c>
      <c r="H110" s="113" t="s">
        <v>707</v>
      </c>
      <c r="I110" s="113">
        <v>1</v>
      </c>
    </row>
    <row r="111" spans="2:9" x14ac:dyDescent="0.25">
      <c r="B111" s="113" t="s">
        <v>1107</v>
      </c>
      <c r="C111" s="113" t="s">
        <v>1268</v>
      </c>
      <c r="D111" s="113" t="s">
        <v>707</v>
      </c>
      <c r="E111" s="113" t="s">
        <v>707</v>
      </c>
      <c r="F111" s="113" t="s">
        <v>707</v>
      </c>
      <c r="G111" s="113" t="s">
        <v>707</v>
      </c>
      <c r="H111" s="113" t="s">
        <v>707</v>
      </c>
      <c r="I111" s="113">
        <v>1</v>
      </c>
    </row>
    <row r="112" spans="2:9" x14ac:dyDescent="0.25">
      <c r="B112" s="113" t="s">
        <v>1107</v>
      </c>
      <c r="C112" s="113" t="s">
        <v>1266</v>
      </c>
      <c r="D112" s="113" t="s">
        <v>707</v>
      </c>
      <c r="E112" s="113" t="s">
        <v>707</v>
      </c>
      <c r="F112" s="113" t="s">
        <v>707</v>
      </c>
      <c r="G112" s="113" t="s">
        <v>707</v>
      </c>
      <c r="H112" s="113" t="s">
        <v>707</v>
      </c>
      <c r="I112" s="113">
        <v>1</v>
      </c>
    </row>
    <row r="113" spans="2:9" x14ac:dyDescent="0.25">
      <c r="B113" s="113" t="s">
        <v>1107</v>
      </c>
      <c r="C113" s="113" t="s">
        <v>1264</v>
      </c>
      <c r="D113" s="113" t="s">
        <v>707</v>
      </c>
      <c r="E113" s="113" t="s">
        <v>707</v>
      </c>
      <c r="F113" s="113" t="s">
        <v>707</v>
      </c>
      <c r="G113" s="113" t="s">
        <v>707</v>
      </c>
      <c r="H113" s="113" t="s">
        <v>707</v>
      </c>
      <c r="I113" s="113">
        <v>1</v>
      </c>
    </row>
    <row r="114" spans="2:9" x14ac:dyDescent="0.25">
      <c r="B114" s="113" t="s">
        <v>1107</v>
      </c>
      <c r="C114" s="113" t="s">
        <v>1262</v>
      </c>
      <c r="D114" s="113" t="s">
        <v>707</v>
      </c>
      <c r="E114" s="113" t="s">
        <v>707</v>
      </c>
      <c r="F114" s="113" t="s">
        <v>707</v>
      </c>
      <c r="G114" s="113" t="s">
        <v>707</v>
      </c>
      <c r="H114" s="113" t="s">
        <v>707</v>
      </c>
      <c r="I114" s="113">
        <v>1</v>
      </c>
    </row>
    <row r="115" spans="2:9" x14ac:dyDescent="0.25">
      <c r="B115" s="113" t="s">
        <v>1104</v>
      </c>
      <c r="C115" s="113" t="s">
        <v>170</v>
      </c>
      <c r="D115" s="113" t="s">
        <v>43</v>
      </c>
      <c r="E115" s="113" t="s">
        <v>707</v>
      </c>
      <c r="F115" s="113" t="s">
        <v>707</v>
      </c>
      <c r="G115" s="113" t="s">
        <v>707</v>
      </c>
      <c r="H115" s="113" t="s">
        <v>707</v>
      </c>
      <c r="I115" s="113">
        <v>1</v>
      </c>
    </row>
    <row r="116" spans="2:9" x14ac:dyDescent="0.25">
      <c r="B116" s="113" t="s">
        <v>1104</v>
      </c>
      <c r="C116" s="113" t="s">
        <v>170</v>
      </c>
      <c r="D116" s="113" t="s">
        <v>40</v>
      </c>
      <c r="E116" s="113" t="s">
        <v>707</v>
      </c>
      <c r="F116" s="113" t="s">
        <v>707</v>
      </c>
      <c r="G116" s="113" t="s">
        <v>707</v>
      </c>
      <c r="H116" s="113" t="s">
        <v>707</v>
      </c>
      <c r="I116" s="113">
        <v>1</v>
      </c>
    </row>
    <row r="117" spans="2:9" x14ac:dyDescent="0.25">
      <c r="B117" s="113" t="s">
        <v>1104</v>
      </c>
      <c r="C117" s="113" t="s">
        <v>170</v>
      </c>
      <c r="D117" s="113" t="s">
        <v>39</v>
      </c>
      <c r="E117" s="113" t="s">
        <v>707</v>
      </c>
      <c r="F117" s="113" t="s">
        <v>707</v>
      </c>
      <c r="G117" s="113" t="s">
        <v>707</v>
      </c>
      <c r="H117" s="113" t="s">
        <v>707</v>
      </c>
      <c r="I117" s="113">
        <v>1</v>
      </c>
    </row>
    <row r="118" spans="2:9" x14ac:dyDescent="0.25">
      <c r="B118" s="113" t="s">
        <v>1104</v>
      </c>
      <c r="C118" s="113" t="s">
        <v>170</v>
      </c>
      <c r="D118" s="113" t="s">
        <v>592</v>
      </c>
      <c r="E118" s="113" t="s">
        <v>707</v>
      </c>
      <c r="F118" s="113" t="s">
        <v>707</v>
      </c>
      <c r="G118" s="113" t="s">
        <v>707</v>
      </c>
      <c r="H118" s="113" t="s">
        <v>707</v>
      </c>
      <c r="I118" s="113">
        <v>1</v>
      </c>
    </row>
    <row r="119" spans="2:9" x14ac:dyDescent="0.25">
      <c r="B119" s="113" t="s">
        <v>1104</v>
      </c>
      <c r="C119" s="113" t="s">
        <v>170</v>
      </c>
      <c r="D119" s="113" t="s">
        <v>1337</v>
      </c>
      <c r="E119" s="113" t="s">
        <v>707</v>
      </c>
      <c r="F119" s="113" t="s">
        <v>707</v>
      </c>
      <c r="G119" s="113" t="s">
        <v>707</v>
      </c>
      <c r="H119" s="113" t="s">
        <v>707</v>
      </c>
      <c r="I119" s="113">
        <v>1</v>
      </c>
    </row>
    <row r="120" spans="2:9" x14ac:dyDescent="0.25">
      <c r="B120" s="113" t="s">
        <v>1104</v>
      </c>
      <c r="C120" s="113" t="s">
        <v>170</v>
      </c>
      <c r="D120" s="113" t="s">
        <v>41</v>
      </c>
      <c r="E120" s="113" t="s">
        <v>707</v>
      </c>
      <c r="F120" s="113" t="s">
        <v>707</v>
      </c>
      <c r="G120" s="113" t="s">
        <v>707</v>
      </c>
      <c r="H120" s="113" t="s">
        <v>707</v>
      </c>
      <c r="I120" s="113">
        <v>1</v>
      </c>
    </row>
    <row r="121" spans="2:9" x14ac:dyDescent="0.25">
      <c r="B121" s="113" t="s">
        <v>1104</v>
      </c>
      <c r="C121" s="113" t="s">
        <v>1306</v>
      </c>
      <c r="D121" s="113" t="s">
        <v>41</v>
      </c>
      <c r="E121" s="113" t="s">
        <v>707</v>
      </c>
      <c r="F121" s="113" t="s">
        <v>707</v>
      </c>
      <c r="G121" s="113" t="s">
        <v>707</v>
      </c>
      <c r="H121" s="113" t="s">
        <v>707</v>
      </c>
      <c r="I121" s="113">
        <v>1</v>
      </c>
    </row>
    <row r="122" spans="2:9" x14ac:dyDescent="0.25">
      <c r="B122" s="113" t="s">
        <v>1104</v>
      </c>
      <c r="C122" s="113" t="s">
        <v>1304</v>
      </c>
      <c r="D122" s="113" t="s">
        <v>41</v>
      </c>
      <c r="E122" s="113" t="s">
        <v>707</v>
      </c>
      <c r="F122" s="113" t="s">
        <v>707</v>
      </c>
      <c r="G122" s="113" t="s">
        <v>707</v>
      </c>
      <c r="H122" s="113" t="s">
        <v>707</v>
      </c>
      <c r="I122" s="113">
        <v>1</v>
      </c>
    </row>
    <row r="123" spans="2:9" x14ac:dyDescent="0.25">
      <c r="B123" s="113" t="s">
        <v>1104</v>
      </c>
      <c r="C123" s="113" t="s">
        <v>539</v>
      </c>
      <c r="D123" s="113" t="s">
        <v>43</v>
      </c>
      <c r="E123" s="113" t="s">
        <v>707</v>
      </c>
      <c r="F123" s="113" t="s">
        <v>707</v>
      </c>
      <c r="G123" s="113" t="s">
        <v>707</v>
      </c>
      <c r="H123" s="113" t="s">
        <v>707</v>
      </c>
      <c r="I123" s="113">
        <v>1</v>
      </c>
    </row>
    <row r="124" spans="2:9" x14ac:dyDescent="0.25">
      <c r="B124" s="113" t="s">
        <v>1104</v>
      </c>
      <c r="C124" s="113" t="s">
        <v>539</v>
      </c>
      <c r="D124" s="113" t="s">
        <v>40</v>
      </c>
      <c r="E124" s="113" t="s">
        <v>707</v>
      </c>
      <c r="F124" s="113" t="s">
        <v>707</v>
      </c>
      <c r="G124" s="113" t="s">
        <v>707</v>
      </c>
      <c r="H124" s="113" t="s">
        <v>707</v>
      </c>
      <c r="I124" s="113">
        <v>1</v>
      </c>
    </row>
    <row r="125" spans="2:9" x14ac:dyDescent="0.25">
      <c r="B125" s="113" t="s">
        <v>1104</v>
      </c>
      <c r="C125" s="113" t="s">
        <v>539</v>
      </c>
      <c r="D125" s="113" t="s">
        <v>39</v>
      </c>
      <c r="E125" s="113" t="s">
        <v>707</v>
      </c>
      <c r="F125" s="113" t="s">
        <v>707</v>
      </c>
      <c r="G125" s="113" t="s">
        <v>707</v>
      </c>
      <c r="H125" s="113" t="s">
        <v>707</v>
      </c>
      <c r="I125" s="113">
        <v>1</v>
      </c>
    </row>
    <row r="126" spans="2:9" x14ac:dyDescent="0.25">
      <c r="B126" s="113" t="s">
        <v>1104</v>
      </c>
      <c r="C126" s="113" t="s">
        <v>539</v>
      </c>
      <c r="D126" s="113" t="s">
        <v>592</v>
      </c>
      <c r="E126" s="113" t="s">
        <v>707</v>
      </c>
      <c r="F126" s="113" t="s">
        <v>707</v>
      </c>
      <c r="G126" s="113" t="s">
        <v>707</v>
      </c>
      <c r="H126" s="113" t="s">
        <v>707</v>
      </c>
      <c r="I126" s="113">
        <v>1</v>
      </c>
    </row>
    <row r="127" spans="2:9" x14ac:dyDescent="0.25">
      <c r="B127" s="113" t="s">
        <v>1104</v>
      </c>
      <c r="C127" s="113" t="s">
        <v>539</v>
      </c>
      <c r="D127" s="113" t="s">
        <v>1337</v>
      </c>
      <c r="E127" s="113" t="s">
        <v>707</v>
      </c>
      <c r="F127" s="113" t="s">
        <v>707</v>
      </c>
      <c r="G127" s="113" t="s">
        <v>707</v>
      </c>
      <c r="H127" s="113" t="s">
        <v>707</v>
      </c>
      <c r="I127" s="113">
        <v>1</v>
      </c>
    </row>
    <row r="128" spans="2:9" x14ac:dyDescent="0.25">
      <c r="B128" s="113" t="s">
        <v>1104</v>
      </c>
      <c r="C128" s="113" t="s">
        <v>539</v>
      </c>
      <c r="D128" s="113" t="s">
        <v>41</v>
      </c>
      <c r="E128" s="113" t="s">
        <v>707</v>
      </c>
      <c r="F128" s="113" t="s">
        <v>707</v>
      </c>
      <c r="G128" s="113" t="s">
        <v>707</v>
      </c>
      <c r="H128" s="113" t="s">
        <v>707</v>
      </c>
      <c r="I128" s="113">
        <v>1</v>
      </c>
    </row>
    <row r="129" spans="2:9" x14ac:dyDescent="0.25">
      <c r="B129" s="113" t="s">
        <v>1104</v>
      </c>
      <c r="C129" s="113" t="s">
        <v>172</v>
      </c>
      <c r="D129" s="113" t="s">
        <v>43</v>
      </c>
      <c r="E129" s="113" t="s">
        <v>707</v>
      </c>
      <c r="F129" s="113" t="s">
        <v>707</v>
      </c>
      <c r="G129" s="113" t="s">
        <v>707</v>
      </c>
      <c r="H129" s="113" t="s">
        <v>707</v>
      </c>
      <c r="I129" s="113">
        <v>1</v>
      </c>
    </row>
    <row r="130" spans="2:9" x14ac:dyDescent="0.25">
      <c r="B130" s="113" t="s">
        <v>1104</v>
      </c>
      <c r="C130" s="113" t="s">
        <v>172</v>
      </c>
      <c r="D130" s="113" t="s">
        <v>40</v>
      </c>
      <c r="E130" s="113" t="s">
        <v>707</v>
      </c>
      <c r="F130" s="113" t="s">
        <v>707</v>
      </c>
      <c r="G130" s="113" t="s">
        <v>707</v>
      </c>
      <c r="H130" s="113" t="s">
        <v>707</v>
      </c>
      <c r="I130" s="113">
        <v>1</v>
      </c>
    </row>
    <row r="131" spans="2:9" x14ac:dyDescent="0.25">
      <c r="B131" s="113" t="s">
        <v>1104</v>
      </c>
      <c r="C131" s="113" t="s">
        <v>172</v>
      </c>
      <c r="D131" s="113" t="s">
        <v>39</v>
      </c>
      <c r="E131" s="113" t="s">
        <v>707</v>
      </c>
      <c r="F131" s="113" t="s">
        <v>707</v>
      </c>
      <c r="G131" s="113" t="s">
        <v>707</v>
      </c>
      <c r="H131" s="113" t="s">
        <v>707</v>
      </c>
      <c r="I131" s="113">
        <v>1</v>
      </c>
    </row>
    <row r="132" spans="2:9" x14ac:dyDescent="0.25">
      <c r="B132" s="113" t="s">
        <v>1104</v>
      </c>
      <c r="C132" s="113" t="s">
        <v>172</v>
      </c>
      <c r="D132" s="113" t="s">
        <v>592</v>
      </c>
      <c r="E132" s="113" t="s">
        <v>707</v>
      </c>
      <c r="F132" s="113" t="s">
        <v>707</v>
      </c>
      <c r="G132" s="113" t="s">
        <v>707</v>
      </c>
      <c r="H132" s="113" t="s">
        <v>707</v>
      </c>
      <c r="I132" s="113">
        <v>1</v>
      </c>
    </row>
    <row r="133" spans="2:9" x14ac:dyDescent="0.25">
      <c r="B133" s="113" t="s">
        <v>1104</v>
      </c>
      <c r="C133" s="113" t="s">
        <v>172</v>
      </c>
      <c r="D133" s="113" t="s">
        <v>595</v>
      </c>
      <c r="E133" s="113" t="s">
        <v>707</v>
      </c>
      <c r="F133" s="113" t="s">
        <v>707</v>
      </c>
      <c r="G133" s="113" t="s">
        <v>707</v>
      </c>
      <c r="H133" s="113" t="s">
        <v>707</v>
      </c>
      <c r="I133" s="113">
        <v>1</v>
      </c>
    </row>
    <row r="134" spans="2:9" x14ac:dyDescent="0.25">
      <c r="B134" s="113" t="s">
        <v>1104</v>
      </c>
      <c r="C134" s="113" t="s">
        <v>172</v>
      </c>
      <c r="D134" s="113" t="s">
        <v>41</v>
      </c>
      <c r="E134" s="113" t="s">
        <v>707</v>
      </c>
      <c r="F134" s="113" t="s">
        <v>707</v>
      </c>
      <c r="G134" s="113" t="s">
        <v>707</v>
      </c>
      <c r="H134" s="113" t="s">
        <v>707</v>
      </c>
      <c r="I134" s="113">
        <v>1</v>
      </c>
    </row>
    <row r="135" spans="2:9" x14ac:dyDescent="0.25">
      <c r="B135" s="113" t="s">
        <v>1104</v>
      </c>
      <c r="C135" s="113" t="s">
        <v>1300</v>
      </c>
      <c r="D135" s="113" t="s">
        <v>41</v>
      </c>
      <c r="E135" s="113" t="s">
        <v>707</v>
      </c>
      <c r="F135" s="113" t="s">
        <v>707</v>
      </c>
      <c r="G135" s="113" t="s">
        <v>707</v>
      </c>
      <c r="H135" s="113" t="s">
        <v>707</v>
      </c>
      <c r="I135" s="113">
        <v>1</v>
      </c>
    </row>
    <row r="136" spans="2:9" x14ac:dyDescent="0.25">
      <c r="B136" s="113" t="s">
        <v>1104</v>
      </c>
      <c r="C136" s="113" t="s">
        <v>1298</v>
      </c>
      <c r="D136" s="113" t="s">
        <v>41</v>
      </c>
      <c r="E136" s="113" t="s">
        <v>707</v>
      </c>
      <c r="F136" s="113" t="s">
        <v>707</v>
      </c>
      <c r="G136" s="113" t="s">
        <v>707</v>
      </c>
      <c r="H136" s="113" t="s">
        <v>707</v>
      </c>
      <c r="I136" s="113">
        <v>1</v>
      </c>
    </row>
    <row r="137" spans="2:9" x14ac:dyDescent="0.25">
      <c r="B137" s="113" t="s">
        <v>1104</v>
      </c>
      <c r="C137" s="113" t="s">
        <v>1296</v>
      </c>
      <c r="D137" s="113" t="s">
        <v>1348</v>
      </c>
      <c r="E137" s="113" t="s">
        <v>707</v>
      </c>
      <c r="F137" s="113" t="s">
        <v>707</v>
      </c>
      <c r="G137" s="113" t="s">
        <v>707</v>
      </c>
      <c r="H137" s="113" t="s">
        <v>707</v>
      </c>
      <c r="I137" s="113">
        <v>1</v>
      </c>
    </row>
    <row r="138" spans="2:9" x14ac:dyDescent="0.25">
      <c r="B138" s="113" t="s">
        <v>1104</v>
      </c>
      <c r="C138" s="113" t="s">
        <v>175</v>
      </c>
      <c r="D138" s="113" t="s">
        <v>40</v>
      </c>
      <c r="E138" s="113" t="s">
        <v>707</v>
      </c>
      <c r="F138" s="113" t="s">
        <v>707</v>
      </c>
      <c r="G138" s="113" t="s">
        <v>707</v>
      </c>
      <c r="H138" s="113" t="s">
        <v>707</v>
      </c>
      <c r="I138" s="113">
        <v>1</v>
      </c>
    </row>
    <row r="139" spans="2:9" x14ac:dyDescent="0.25">
      <c r="B139" s="113" t="s">
        <v>1104</v>
      </c>
      <c r="C139" s="113" t="s">
        <v>175</v>
      </c>
      <c r="D139" s="113" t="s">
        <v>39</v>
      </c>
      <c r="E139" s="113" t="s">
        <v>707</v>
      </c>
      <c r="F139" s="113" t="s">
        <v>707</v>
      </c>
      <c r="G139" s="113" t="s">
        <v>707</v>
      </c>
      <c r="H139" s="113" t="s">
        <v>707</v>
      </c>
      <c r="I139" s="113">
        <v>1</v>
      </c>
    </row>
    <row r="140" spans="2:9" x14ac:dyDescent="0.25">
      <c r="B140" s="113" t="s">
        <v>1104</v>
      </c>
      <c r="C140" s="113" t="s">
        <v>175</v>
      </c>
      <c r="D140" s="113" t="s">
        <v>592</v>
      </c>
      <c r="E140" s="113" t="s">
        <v>707</v>
      </c>
      <c r="F140" s="113" t="s">
        <v>707</v>
      </c>
      <c r="G140" s="113" t="s">
        <v>707</v>
      </c>
      <c r="H140" s="113" t="s">
        <v>707</v>
      </c>
      <c r="I140" s="113">
        <v>1</v>
      </c>
    </row>
    <row r="141" spans="2:9" x14ac:dyDescent="0.25">
      <c r="B141" s="113" t="s">
        <v>1104</v>
      </c>
      <c r="C141" s="113" t="s">
        <v>175</v>
      </c>
      <c r="D141" s="113" t="s">
        <v>1337</v>
      </c>
      <c r="E141" s="113" t="s">
        <v>707</v>
      </c>
      <c r="F141" s="113" t="s">
        <v>707</v>
      </c>
      <c r="G141" s="113" t="s">
        <v>707</v>
      </c>
      <c r="H141" s="113" t="s">
        <v>707</v>
      </c>
      <c r="I141" s="113">
        <v>1</v>
      </c>
    </row>
    <row r="142" spans="2:9" x14ac:dyDescent="0.25">
      <c r="B142" s="113" t="s">
        <v>1104</v>
      </c>
      <c r="C142" s="113" t="s">
        <v>175</v>
      </c>
      <c r="D142" s="113" t="s">
        <v>41</v>
      </c>
      <c r="E142" s="113" t="s">
        <v>707</v>
      </c>
      <c r="F142" s="113" t="s">
        <v>707</v>
      </c>
      <c r="G142" s="113" t="s">
        <v>707</v>
      </c>
      <c r="H142" s="113" t="s">
        <v>707</v>
      </c>
      <c r="I142" s="113">
        <v>1</v>
      </c>
    </row>
    <row r="143" spans="2:9" x14ac:dyDescent="0.25">
      <c r="B143" s="113" t="s">
        <v>1104</v>
      </c>
      <c r="C143" s="113" t="s">
        <v>1293</v>
      </c>
      <c r="D143" s="113" t="s">
        <v>41</v>
      </c>
      <c r="E143" s="113" t="s">
        <v>707</v>
      </c>
      <c r="F143" s="113" t="s">
        <v>707</v>
      </c>
      <c r="G143" s="113" t="s">
        <v>707</v>
      </c>
      <c r="H143" s="113" t="s">
        <v>707</v>
      </c>
      <c r="I143" s="113">
        <v>1</v>
      </c>
    </row>
    <row r="144" spans="2:9" x14ac:dyDescent="0.25">
      <c r="B144" s="113" t="s">
        <v>1104</v>
      </c>
      <c r="C144" s="113" t="s">
        <v>1291</v>
      </c>
      <c r="D144" s="113" t="s">
        <v>41</v>
      </c>
      <c r="E144" s="113" t="s">
        <v>707</v>
      </c>
      <c r="F144" s="113" t="s">
        <v>707</v>
      </c>
      <c r="G144" s="113" t="s">
        <v>707</v>
      </c>
      <c r="H144" s="113" t="s">
        <v>707</v>
      </c>
      <c r="I144" s="113">
        <v>1</v>
      </c>
    </row>
    <row r="145" spans="2:9" x14ac:dyDescent="0.25">
      <c r="B145" s="113" t="s">
        <v>1104</v>
      </c>
      <c r="C145" s="113" t="s">
        <v>540</v>
      </c>
      <c r="D145" s="113" t="s">
        <v>40</v>
      </c>
      <c r="E145" s="113" t="s">
        <v>707</v>
      </c>
      <c r="F145" s="113" t="s">
        <v>707</v>
      </c>
      <c r="G145" s="113" t="s">
        <v>707</v>
      </c>
      <c r="H145" s="113" t="s">
        <v>707</v>
      </c>
      <c r="I145" s="113">
        <v>1</v>
      </c>
    </row>
    <row r="146" spans="2:9" x14ac:dyDescent="0.25">
      <c r="B146" s="113" t="s">
        <v>1104</v>
      </c>
      <c r="C146" s="113" t="s">
        <v>540</v>
      </c>
      <c r="D146" s="113" t="s">
        <v>39</v>
      </c>
      <c r="E146" s="113" t="s">
        <v>707</v>
      </c>
      <c r="F146" s="113" t="s">
        <v>707</v>
      </c>
      <c r="G146" s="113" t="s">
        <v>707</v>
      </c>
      <c r="H146" s="113" t="s">
        <v>707</v>
      </c>
      <c r="I146" s="113">
        <v>1</v>
      </c>
    </row>
    <row r="147" spans="2:9" x14ac:dyDescent="0.25">
      <c r="B147" s="113" t="s">
        <v>1104</v>
      </c>
      <c r="C147" s="113" t="s">
        <v>540</v>
      </c>
      <c r="D147" s="113" t="s">
        <v>592</v>
      </c>
      <c r="E147" s="113" t="s">
        <v>707</v>
      </c>
      <c r="F147" s="113" t="s">
        <v>707</v>
      </c>
      <c r="G147" s="113" t="s">
        <v>707</v>
      </c>
      <c r="H147" s="113" t="s">
        <v>707</v>
      </c>
      <c r="I147" s="113">
        <v>1</v>
      </c>
    </row>
    <row r="148" spans="2:9" x14ac:dyDescent="0.25">
      <c r="B148" s="113" t="s">
        <v>1104</v>
      </c>
      <c r="C148" s="113" t="s">
        <v>540</v>
      </c>
      <c r="D148" s="113" t="s">
        <v>1337</v>
      </c>
      <c r="E148" s="113" t="s">
        <v>707</v>
      </c>
      <c r="F148" s="113" t="s">
        <v>707</v>
      </c>
      <c r="G148" s="113" t="s">
        <v>707</v>
      </c>
      <c r="H148" s="113" t="s">
        <v>707</v>
      </c>
      <c r="I148" s="113">
        <v>1</v>
      </c>
    </row>
    <row r="149" spans="2:9" x14ac:dyDescent="0.25">
      <c r="B149" s="113" t="s">
        <v>1104</v>
      </c>
      <c r="C149" s="113" t="s">
        <v>540</v>
      </c>
      <c r="D149" s="113" t="s">
        <v>41</v>
      </c>
      <c r="E149" s="113" t="s">
        <v>707</v>
      </c>
      <c r="F149" s="113" t="s">
        <v>707</v>
      </c>
      <c r="G149" s="113" t="s">
        <v>707</v>
      </c>
      <c r="H149" s="113" t="s">
        <v>707</v>
      </c>
      <c r="I149" s="113">
        <v>1</v>
      </c>
    </row>
    <row r="150" spans="2:9" x14ac:dyDescent="0.25">
      <c r="B150" s="113" t="s">
        <v>1104</v>
      </c>
      <c r="C150" s="113" t="s">
        <v>541</v>
      </c>
      <c r="D150" s="113" t="s">
        <v>39</v>
      </c>
      <c r="E150" s="113" t="s">
        <v>707</v>
      </c>
      <c r="F150" s="113" t="s">
        <v>707</v>
      </c>
      <c r="G150" s="113" t="s">
        <v>707</v>
      </c>
      <c r="H150" s="113" t="s">
        <v>707</v>
      </c>
      <c r="I150" s="113">
        <v>1</v>
      </c>
    </row>
    <row r="151" spans="2:9" x14ac:dyDescent="0.25">
      <c r="B151" s="113" t="s">
        <v>1104</v>
      </c>
      <c r="C151" s="113" t="s">
        <v>541</v>
      </c>
      <c r="D151" s="113" t="s">
        <v>592</v>
      </c>
      <c r="E151" s="113" t="s">
        <v>707</v>
      </c>
      <c r="F151" s="113" t="s">
        <v>707</v>
      </c>
      <c r="G151" s="113" t="s">
        <v>707</v>
      </c>
      <c r="H151" s="113" t="s">
        <v>707</v>
      </c>
      <c r="I151" s="113">
        <v>1</v>
      </c>
    </row>
    <row r="152" spans="2:9" x14ac:dyDescent="0.25">
      <c r="B152" s="113" t="s">
        <v>1104</v>
      </c>
      <c r="C152" s="113" t="s">
        <v>541</v>
      </c>
      <c r="D152" s="113" t="s">
        <v>1337</v>
      </c>
      <c r="E152" s="113" t="s">
        <v>707</v>
      </c>
      <c r="F152" s="113" t="s">
        <v>707</v>
      </c>
      <c r="G152" s="113" t="s">
        <v>707</v>
      </c>
      <c r="H152" s="113" t="s">
        <v>707</v>
      </c>
      <c r="I152" s="113">
        <v>1</v>
      </c>
    </row>
    <row r="153" spans="2:9" x14ac:dyDescent="0.25">
      <c r="B153" s="113" t="s">
        <v>1104</v>
      </c>
      <c r="C153" s="113" t="s">
        <v>541</v>
      </c>
      <c r="D153" s="113" t="s">
        <v>41</v>
      </c>
      <c r="E153" s="113" t="s">
        <v>707</v>
      </c>
      <c r="F153" s="113" t="s">
        <v>707</v>
      </c>
      <c r="G153" s="113" t="s">
        <v>707</v>
      </c>
      <c r="H153" s="113" t="s">
        <v>707</v>
      </c>
      <c r="I153" s="113">
        <v>1</v>
      </c>
    </row>
    <row r="154" spans="2:9" x14ac:dyDescent="0.25">
      <c r="B154" s="113" t="s">
        <v>1104</v>
      </c>
      <c r="C154" s="113" t="s">
        <v>179</v>
      </c>
      <c r="D154" s="113" t="s">
        <v>43</v>
      </c>
      <c r="E154" s="113" t="s">
        <v>707</v>
      </c>
      <c r="F154" s="113" t="s">
        <v>707</v>
      </c>
      <c r="G154" s="113" t="s">
        <v>707</v>
      </c>
      <c r="H154" s="113" t="s">
        <v>707</v>
      </c>
      <c r="I154" s="113">
        <v>1</v>
      </c>
    </row>
    <row r="155" spans="2:9" x14ac:dyDescent="0.25">
      <c r="B155" s="113" t="s">
        <v>1104</v>
      </c>
      <c r="C155" s="113" t="s">
        <v>179</v>
      </c>
      <c r="D155" s="113" t="s">
        <v>40</v>
      </c>
      <c r="E155" s="113" t="s">
        <v>707</v>
      </c>
      <c r="F155" s="113" t="s">
        <v>707</v>
      </c>
      <c r="G155" s="113" t="s">
        <v>707</v>
      </c>
      <c r="H155" s="113" t="s">
        <v>707</v>
      </c>
      <c r="I155" s="113">
        <v>1</v>
      </c>
    </row>
    <row r="156" spans="2:9" x14ac:dyDescent="0.25">
      <c r="B156" s="113" t="s">
        <v>1104</v>
      </c>
      <c r="C156" s="113" t="s">
        <v>179</v>
      </c>
      <c r="D156" s="113" t="s">
        <v>39</v>
      </c>
      <c r="E156" s="113" t="s">
        <v>707</v>
      </c>
      <c r="F156" s="113" t="s">
        <v>707</v>
      </c>
      <c r="G156" s="113" t="s">
        <v>707</v>
      </c>
      <c r="H156" s="113" t="s">
        <v>707</v>
      </c>
      <c r="I156" s="113">
        <v>1</v>
      </c>
    </row>
    <row r="157" spans="2:9" x14ac:dyDescent="0.25">
      <c r="B157" s="113" t="s">
        <v>1104</v>
      </c>
      <c r="C157" s="113" t="s">
        <v>179</v>
      </c>
      <c r="D157" s="113" t="s">
        <v>592</v>
      </c>
      <c r="E157" s="113" t="s">
        <v>707</v>
      </c>
      <c r="F157" s="113" t="s">
        <v>707</v>
      </c>
      <c r="G157" s="113" t="s">
        <v>707</v>
      </c>
      <c r="H157" s="113" t="s">
        <v>707</v>
      </c>
      <c r="I157" s="113">
        <v>1</v>
      </c>
    </row>
    <row r="158" spans="2:9" x14ac:dyDescent="0.25">
      <c r="B158" s="113" t="s">
        <v>1104</v>
      </c>
      <c r="C158" s="113" t="s">
        <v>179</v>
      </c>
      <c r="D158" s="113" t="s">
        <v>1337</v>
      </c>
      <c r="E158" s="113" t="s">
        <v>707</v>
      </c>
      <c r="F158" s="113" t="s">
        <v>707</v>
      </c>
      <c r="G158" s="113" t="s">
        <v>707</v>
      </c>
      <c r="H158" s="113" t="s">
        <v>707</v>
      </c>
      <c r="I158" s="113">
        <v>1</v>
      </c>
    </row>
    <row r="159" spans="2:9" x14ac:dyDescent="0.25">
      <c r="B159" s="113" t="s">
        <v>1104</v>
      </c>
      <c r="C159" s="113" t="s">
        <v>179</v>
      </c>
      <c r="D159" s="113" t="s">
        <v>41</v>
      </c>
      <c r="E159" s="113" t="s">
        <v>707</v>
      </c>
      <c r="F159" s="113" t="s">
        <v>707</v>
      </c>
      <c r="G159" s="113" t="s">
        <v>707</v>
      </c>
      <c r="H159" s="113" t="s">
        <v>707</v>
      </c>
      <c r="I159" s="113">
        <v>1</v>
      </c>
    </row>
    <row r="160" spans="2:9" x14ac:dyDescent="0.25">
      <c r="B160" s="113" t="s">
        <v>1104</v>
      </c>
      <c r="C160" s="113" t="s">
        <v>1286</v>
      </c>
      <c r="D160" s="113" t="s">
        <v>41</v>
      </c>
      <c r="E160" s="113" t="s">
        <v>707</v>
      </c>
      <c r="F160" s="113" t="s">
        <v>707</v>
      </c>
      <c r="G160" s="113" t="s">
        <v>707</v>
      </c>
      <c r="H160" s="113" t="s">
        <v>707</v>
      </c>
      <c r="I160" s="113">
        <v>1</v>
      </c>
    </row>
    <row r="161" spans="2:9" x14ac:dyDescent="0.25">
      <c r="B161" s="113" t="s">
        <v>1104</v>
      </c>
      <c r="C161" s="113" t="s">
        <v>1284</v>
      </c>
      <c r="D161" s="113" t="s">
        <v>41</v>
      </c>
      <c r="E161" s="113" t="s">
        <v>707</v>
      </c>
      <c r="F161" s="113" t="s">
        <v>707</v>
      </c>
      <c r="G161" s="113" t="s">
        <v>707</v>
      </c>
      <c r="H161" s="113" t="s">
        <v>707</v>
      </c>
      <c r="I161" s="113">
        <v>1</v>
      </c>
    </row>
    <row r="162" spans="2:9" x14ac:dyDescent="0.25">
      <c r="B162" s="113" t="s">
        <v>1104</v>
      </c>
      <c r="C162" s="113" t="s">
        <v>181</v>
      </c>
      <c r="D162" s="113" t="s">
        <v>40</v>
      </c>
      <c r="E162" s="113" t="s">
        <v>707</v>
      </c>
      <c r="F162" s="113" t="s">
        <v>707</v>
      </c>
      <c r="G162" s="113" t="s">
        <v>707</v>
      </c>
      <c r="H162" s="113" t="s">
        <v>707</v>
      </c>
      <c r="I162" s="113">
        <v>1</v>
      </c>
    </row>
    <row r="163" spans="2:9" x14ac:dyDescent="0.25">
      <c r="B163" s="113" t="s">
        <v>1104</v>
      </c>
      <c r="C163" s="113" t="s">
        <v>181</v>
      </c>
      <c r="D163" s="113" t="s">
        <v>39</v>
      </c>
      <c r="E163" s="113" t="s">
        <v>707</v>
      </c>
      <c r="F163" s="113" t="s">
        <v>707</v>
      </c>
      <c r="G163" s="113" t="s">
        <v>707</v>
      </c>
      <c r="H163" s="113" t="s">
        <v>707</v>
      </c>
      <c r="I163" s="113">
        <v>1</v>
      </c>
    </row>
    <row r="164" spans="2:9" x14ac:dyDescent="0.25">
      <c r="B164" s="113" t="s">
        <v>1104</v>
      </c>
      <c r="C164" s="113" t="s">
        <v>181</v>
      </c>
      <c r="D164" s="113" t="s">
        <v>592</v>
      </c>
      <c r="E164" s="113" t="s">
        <v>707</v>
      </c>
      <c r="F164" s="113" t="s">
        <v>707</v>
      </c>
      <c r="G164" s="113" t="s">
        <v>707</v>
      </c>
      <c r="H164" s="113" t="s">
        <v>707</v>
      </c>
      <c r="I164" s="113">
        <v>1</v>
      </c>
    </row>
    <row r="165" spans="2:9" x14ac:dyDescent="0.25">
      <c r="B165" s="113" t="s">
        <v>1104</v>
      </c>
      <c r="C165" s="113" t="s">
        <v>181</v>
      </c>
      <c r="D165" s="113" t="s">
        <v>1337</v>
      </c>
      <c r="E165" s="113" t="s">
        <v>707</v>
      </c>
      <c r="F165" s="113" t="s">
        <v>707</v>
      </c>
      <c r="G165" s="113" t="s">
        <v>707</v>
      </c>
      <c r="H165" s="113" t="s">
        <v>707</v>
      </c>
      <c r="I165" s="113">
        <v>1</v>
      </c>
    </row>
    <row r="166" spans="2:9" x14ac:dyDescent="0.25">
      <c r="B166" s="113" t="s">
        <v>1104</v>
      </c>
      <c r="C166" s="113" t="s">
        <v>181</v>
      </c>
      <c r="D166" s="113" t="s">
        <v>41</v>
      </c>
      <c r="E166" s="113" t="s">
        <v>707</v>
      </c>
      <c r="F166" s="113" t="s">
        <v>707</v>
      </c>
      <c r="G166" s="113" t="s">
        <v>707</v>
      </c>
      <c r="H166" s="113" t="s">
        <v>707</v>
      </c>
      <c r="I166" s="113">
        <v>1</v>
      </c>
    </row>
    <row r="167" spans="2:9" x14ac:dyDescent="0.25">
      <c r="B167" s="113" t="s">
        <v>1104</v>
      </c>
      <c r="C167" s="113" t="s">
        <v>1281</v>
      </c>
      <c r="D167" s="113" t="s">
        <v>41</v>
      </c>
      <c r="E167" s="113" t="s">
        <v>707</v>
      </c>
      <c r="F167" s="113" t="s">
        <v>707</v>
      </c>
      <c r="G167" s="113" t="s">
        <v>707</v>
      </c>
      <c r="H167" s="113" t="s">
        <v>707</v>
      </c>
      <c r="I167" s="113">
        <v>1</v>
      </c>
    </row>
    <row r="168" spans="2:9" x14ac:dyDescent="0.25">
      <c r="B168" s="113" t="s">
        <v>1104</v>
      </c>
      <c r="C168" s="113" t="s">
        <v>1279</v>
      </c>
      <c r="D168" s="113" t="s">
        <v>41</v>
      </c>
      <c r="E168" s="113" t="s">
        <v>707</v>
      </c>
      <c r="F168" s="113" t="s">
        <v>707</v>
      </c>
      <c r="G168" s="113" t="s">
        <v>707</v>
      </c>
      <c r="H168" s="113" t="s">
        <v>707</v>
      </c>
      <c r="I168" s="113">
        <v>1</v>
      </c>
    </row>
    <row r="169" spans="2:9" x14ac:dyDescent="0.25">
      <c r="B169" s="113" t="s">
        <v>1104</v>
      </c>
      <c r="C169" s="113" t="s">
        <v>542</v>
      </c>
      <c r="D169" s="113" t="s">
        <v>40</v>
      </c>
      <c r="E169" s="113" t="s">
        <v>707</v>
      </c>
      <c r="F169" s="113" t="s">
        <v>707</v>
      </c>
      <c r="G169" s="113" t="s">
        <v>707</v>
      </c>
      <c r="H169" s="113" t="s">
        <v>707</v>
      </c>
      <c r="I169" s="113">
        <v>1</v>
      </c>
    </row>
    <row r="170" spans="2:9" x14ac:dyDescent="0.25">
      <c r="B170" s="113" t="s">
        <v>1104</v>
      </c>
      <c r="C170" s="113" t="s">
        <v>542</v>
      </c>
      <c r="D170" s="113" t="s">
        <v>39</v>
      </c>
      <c r="E170" s="113" t="s">
        <v>707</v>
      </c>
      <c r="F170" s="113" t="s">
        <v>707</v>
      </c>
      <c r="G170" s="113" t="s">
        <v>707</v>
      </c>
      <c r="H170" s="113" t="s">
        <v>707</v>
      </c>
      <c r="I170" s="113">
        <v>1</v>
      </c>
    </row>
    <row r="171" spans="2:9" x14ac:dyDescent="0.25">
      <c r="B171" s="113" t="s">
        <v>1104</v>
      </c>
      <c r="C171" s="113" t="s">
        <v>542</v>
      </c>
      <c r="D171" s="113" t="s">
        <v>592</v>
      </c>
      <c r="E171" s="113" t="s">
        <v>707</v>
      </c>
      <c r="F171" s="113" t="s">
        <v>707</v>
      </c>
      <c r="G171" s="113" t="s">
        <v>707</v>
      </c>
      <c r="H171" s="113" t="s">
        <v>707</v>
      </c>
      <c r="I171" s="113">
        <v>1</v>
      </c>
    </row>
    <row r="172" spans="2:9" x14ac:dyDescent="0.25">
      <c r="B172" s="113" t="s">
        <v>1104</v>
      </c>
      <c r="C172" s="113" t="s">
        <v>542</v>
      </c>
      <c r="D172" s="113" t="s">
        <v>1337</v>
      </c>
      <c r="E172" s="113" t="s">
        <v>707</v>
      </c>
      <c r="F172" s="113" t="s">
        <v>707</v>
      </c>
      <c r="G172" s="113" t="s">
        <v>707</v>
      </c>
      <c r="H172" s="113" t="s">
        <v>707</v>
      </c>
      <c r="I172" s="113">
        <v>1</v>
      </c>
    </row>
    <row r="173" spans="2:9" x14ac:dyDescent="0.25">
      <c r="B173" s="113" t="s">
        <v>1104</v>
      </c>
      <c r="C173" s="113" t="s">
        <v>542</v>
      </c>
      <c r="D173" s="113" t="s">
        <v>41</v>
      </c>
      <c r="E173" s="113" t="s">
        <v>707</v>
      </c>
      <c r="F173" s="113" t="s">
        <v>707</v>
      </c>
      <c r="G173" s="113" t="s">
        <v>707</v>
      </c>
      <c r="H173" s="113" t="s">
        <v>707</v>
      </c>
      <c r="I173" s="113">
        <v>1</v>
      </c>
    </row>
    <row r="174" spans="2:9" x14ac:dyDescent="0.25">
      <c r="B174" s="113" t="s">
        <v>1104</v>
      </c>
      <c r="C174" s="113" t="s">
        <v>1276</v>
      </c>
      <c r="D174" s="113" t="s">
        <v>1463</v>
      </c>
      <c r="E174" s="113" t="s">
        <v>707</v>
      </c>
      <c r="F174" s="113" t="s">
        <v>707</v>
      </c>
      <c r="G174" s="113" t="s">
        <v>707</v>
      </c>
      <c r="H174" s="113" t="s">
        <v>707</v>
      </c>
      <c r="I174" s="113">
        <v>1</v>
      </c>
    </row>
    <row r="175" spans="2:9" x14ac:dyDescent="0.25">
      <c r="B175" s="113" t="s">
        <v>1104</v>
      </c>
      <c r="C175" s="113" t="s">
        <v>1276</v>
      </c>
      <c r="D175" s="113" t="s">
        <v>1462</v>
      </c>
      <c r="E175" s="113" t="s">
        <v>707</v>
      </c>
      <c r="F175" s="113" t="s">
        <v>707</v>
      </c>
      <c r="G175" s="113" t="s">
        <v>707</v>
      </c>
      <c r="H175" s="113" t="s">
        <v>707</v>
      </c>
      <c r="I175" s="113">
        <v>1</v>
      </c>
    </row>
    <row r="176" spans="2:9" x14ac:dyDescent="0.25">
      <c r="B176" s="113" t="s">
        <v>1104</v>
      </c>
      <c r="C176" s="113" t="s">
        <v>1274</v>
      </c>
      <c r="D176" s="113" t="s">
        <v>1325</v>
      </c>
      <c r="E176" s="113" t="s">
        <v>707</v>
      </c>
      <c r="F176" s="113" t="s">
        <v>707</v>
      </c>
      <c r="G176" s="113" t="s">
        <v>707</v>
      </c>
      <c r="H176" s="113" t="s">
        <v>707</v>
      </c>
      <c r="I176" s="113">
        <v>1</v>
      </c>
    </row>
    <row r="177" spans="2:9" x14ac:dyDescent="0.25">
      <c r="B177" s="113" t="s">
        <v>1104</v>
      </c>
      <c r="C177" s="113" t="s">
        <v>1272</v>
      </c>
      <c r="D177" s="572" t="s">
        <v>1461</v>
      </c>
      <c r="E177" s="113" t="s">
        <v>707</v>
      </c>
      <c r="F177" s="113" t="s">
        <v>707</v>
      </c>
      <c r="G177" s="113" t="s">
        <v>707</v>
      </c>
      <c r="H177" s="113" t="s">
        <v>707</v>
      </c>
      <c r="I177" s="113">
        <v>1</v>
      </c>
    </row>
    <row r="178" spans="2:9" x14ac:dyDescent="0.25">
      <c r="B178" s="113" t="s">
        <v>1104</v>
      </c>
      <c r="C178" s="113" t="s">
        <v>1270</v>
      </c>
      <c r="D178" s="113" t="s">
        <v>1460</v>
      </c>
      <c r="E178" s="113" t="s">
        <v>707</v>
      </c>
      <c r="F178" s="113" t="s">
        <v>707</v>
      </c>
      <c r="G178" s="113" t="s">
        <v>707</v>
      </c>
      <c r="H178" s="113" t="s">
        <v>707</v>
      </c>
      <c r="I178" s="113">
        <v>1</v>
      </c>
    </row>
    <row r="179" spans="2:9" x14ac:dyDescent="0.25">
      <c r="B179" s="113" t="s">
        <v>1104</v>
      </c>
      <c r="C179" s="113" t="s">
        <v>1268</v>
      </c>
      <c r="D179" s="113" t="s">
        <v>1315</v>
      </c>
      <c r="E179" s="113" t="s">
        <v>707</v>
      </c>
      <c r="F179" s="113" t="s">
        <v>707</v>
      </c>
      <c r="G179" s="113" t="s">
        <v>707</v>
      </c>
      <c r="H179" s="113" t="s">
        <v>707</v>
      </c>
      <c r="I179" s="113">
        <v>1</v>
      </c>
    </row>
    <row r="180" spans="2:9" x14ac:dyDescent="0.25">
      <c r="B180" s="113" t="s">
        <v>1104</v>
      </c>
      <c r="C180" s="113" t="s">
        <v>1266</v>
      </c>
      <c r="D180" s="113" t="s">
        <v>1459</v>
      </c>
      <c r="E180" s="113" t="s">
        <v>707</v>
      </c>
      <c r="F180" s="113" t="s">
        <v>707</v>
      </c>
      <c r="G180" s="113" t="s">
        <v>707</v>
      </c>
      <c r="H180" s="113" t="s">
        <v>707</v>
      </c>
      <c r="I180" s="113">
        <v>1</v>
      </c>
    </row>
    <row r="181" spans="2:9" x14ac:dyDescent="0.25">
      <c r="B181" s="113" t="s">
        <v>1104</v>
      </c>
      <c r="C181" s="113" t="s">
        <v>1262</v>
      </c>
      <c r="D181" s="113" t="s">
        <v>1458</v>
      </c>
      <c r="E181" s="113" t="s">
        <v>707</v>
      </c>
      <c r="F181" s="113" t="s">
        <v>707</v>
      </c>
      <c r="G181" s="113" t="s">
        <v>707</v>
      </c>
      <c r="H181" s="113" t="s">
        <v>707</v>
      </c>
      <c r="I181" s="113">
        <v>1</v>
      </c>
    </row>
    <row r="182" spans="2:9" x14ac:dyDescent="0.25">
      <c r="B182" s="113" t="s">
        <v>1103</v>
      </c>
      <c r="C182" s="113" t="s">
        <v>170</v>
      </c>
      <c r="D182" s="113" t="s">
        <v>42</v>
      </c>
      <c r="E182" s="113" t="s">
        <v>707</v>
      </c>
      <c r="F182" s="113" t="s">
        <v>707</v>
      </c>
      <c r="G182" s="113" t="s">
        <v>707</v>
      </c>
      <c r="H182" s="113" t="s">
        <v>707</v>
      </c>
      <c r="I182" s="113">
        <v>1</v>
      </c>
    </row>
    <row r="183" spans="2:9" x14ac:dyDescent="0.25">
      <c r="B183" s="113" t="s">
        <v>1103</v>
      </c>
      <c r="C183" s="113" t="s">
        <v>1306</v>
      </c>
      <c r="D183" s="113" t="s">
        <v>42</v>
      </c>
      <c r="E183" s="113" t="s">
        <v>707</v>
      </c>
      <c r="F183" s="113" t="s">
        <v>707</v>
      </c>
      <c r="G183" s="113" t="s">
        <v>707</v>
      </c>
      <c r="H183" s="113" t="s">
        <v>707</v>
      </c>
      <c r="I183" s="113">
        <v>1</v>
      </c>
    </row>
    <row r="184" spans="2:9" x14ac:dyDescent="0.25">
      <c r="B184" s="113" t="s">
        <v>1103</v>
      </c>
      <c r="C184" s="113" t="s">
        <v>1304</v>
      </c>
      <c r="D184" s="113" t="s">
        <v>42</v>
      </c>
      <c r="E184" s="113" t="s">
        <v>707</v>
      </c>
      <c r="F184" s="113" t="s">
        <v>707</v>
      </c>
      <c r="G184" s="113" t="s">
        <v>707</v>
      </c>
      <c r="H184" s="113" t="s">
        <v>707</v>
      </c>
      <c r="I184" s="113">
        <v>1</v>
      </c>
    </row>
    <row r="185" spans="2:9" x14ac:dyDescent="0.25">
      <c r="B185" s="113" t="s">
        <v>1103</v>
      </c>
      <c r="C185" s="113" t="s">
        <v>539</v>
      </c>
      <c r="D185" s="113" t="s">
        <v>42</v>
      </c>
      <c r="E185" s="113" t="s">
        <v>707</v>
      </c>
      <c r="F185" s="113" t="s">
        <v>707</v>
      </c>
      <c r="G185" s="113" t="s">
        <v>707</v>
      </c>
      <c r="H185" s="113" t="s">
        <v>707</v>
      </c>
      <c r="I185" s="113">
        <v>1</v>
      </c>
    </row>
    <row r="186" spans="2:9" x14ac:dyDescent="0.25">
      <c r="B186" s="113" t="s">
        <v>1103</v>
      </c>
      <c r="C186" s="113" t="s">
        <v>172</v>
      </c>
      <c r="D186" s="113" t="s">
        <v>42</v>
      </c>
      <c r="E186" s="113" t="s">
        <v>707</v>
      </c>
      <c r="F186" s="113" t="s">
        <v>707</v>
      </c>
      <c r="G186" s="113" t="s">
        <v>707</v>
      </c>
      <c r="H186" s="113" t="s">
        <v>707</v>
      </c>
      <c r="I186" s="113">
        <v>1</v>
      </c>
    </row>
    <row r="187" spans="2:9" x14ac:dyDescent="0.25">
      <c r="B187" s="113" t="s">
        <v>1103</v>
      </c>
      <c r="C187" s="113" t="s">
        <v>1300</v>
      </c>
      <c r="D187" s="113" t="s">
        <v>42</v>
      </c>
      <c r="E187" s="113" t="s">
        <v>707</v>
      </c>
      <c r="F187" s="113" t="s">
        <v>707</v>
      </c>
      <c r="G187" s="113" t="s">
        <v>707</v>
      </c>
      <c r="H187" s="113" t="s">
        <v>707</v>
      </c>
      <c r="I187" s="113">
        <v>1</v>
      </c>
    </row>
    <row r="188" spans="2:9" x14ac:dyDescent="0.25">
      <c r="B188" s="113" t="s">
        <v>1103</v>
      </c>
      <c r="C188" s="113" t="s">
        <v>1298</v>
      </c>
      <c r="D188" s="113" t="s">
        <v>42</v>
      </c>
      <c r="E188" s="113" t="s">
        <v>707</v>
      </c>
      <c r="F188" s="113" t="s">
        <v>707</v>
      </c>
      <c r="G188" s="113" t="s">
        <v>707</v>
      </c>
      <c r="H188" s="113" t="s">
        <v>707</v>
      </c>
      <c r="I188" s="113">
        <v>1</v>
      </c>
    </row>
    <row r="189" spans="2:9" x14ac:dyDescent="0.25">
      <c r="B189" s="113" t="s">
        <v>1103</v>
      </c>
      <c r="C189" s="113" t="s">
        <v>1296</v>
      </c>
      <c r="D189" s="113" t="s">
        <v>43</v>
      </c>
      <c r="E189" s="113" t="s">
        <v>707</v>
      </c>
      <c r="F189" s="113" t="s">
        <v>707</v>
      </c>
      <c r="G189" s="113" t="s">
        <v>707</v>
      </c>
      <c r="H189" s="113" t="s">
        <v>707</v>
      </c>
      <c r="I189" s="113">
        <v>1</v>
      </c>
    </row>
    <row r="190" spans="2:9" x14ac:dyDescent="0.25">
      <c r="B190" s="113" t="s">
        <v>1103</v>
      </c>
      <c r="C190" s="113" t="s">
        <v>1296</v>
      </c>
      <c r="D190" s="113" t="s">
        <v>1342</v>
      </c>
      <c r="E190" s="113" t="s">
        <v>707</v>
      </c>
      <c r="F190" s="113" t="s">
        <v>707</v>
      </c>
      <c r="G190" s="113" t="s">
        <v>707</v>
      </c>
      <c r="H190" s="113" t="s">
        <v>707</v>
      </c>
      <c r="I190" s="113">
        <v>1</v>
      </c>
    </row>
    <row r="191" spans="2:9" x14ac:dyDescent="0.25">
      <c r="B191" s="113" t="s">
        <v>1103</v>
      </c>
      <c r="C191" s="113" t="s">
        <v>175</v>
      </c>
      <c r="D191" s="113" t="s">
        <v>42</v>
      </c>
      <c r="E191" s="113" t="s">
        <v>707</v>
      </c>
      <c r="F191" s="113" t="s">
        <v>707</v>
      </c>
      <c r="G191" s="113" t="s">
        <v>707</v>
      </c>
      <c r="H191" s="113" t="s">
        <v>707</v>
      </c>
      <c r="I191" s="113">
        <v>1</v>
      </c>
    </row>
    <row r="192" spans="2:9" x14ac:dyDescent="0.25">
      <c r="B192" s="113" t="s">
        <v>1103</v>
      </c>
      <c r="C192" s="113" t="s">
        <v>1293</v>
      </c>
      <c r="D192" s="113" t="s">
        <v>42</v>
      </c>
      <c r="E192" s="113" t="s">
        <v>707</v>
      </c>
      <c r="F192" s="113" t="s">
        <v>707</v>
      </c>
      <c r="G192" s="113" t="s">
        <v>707</v>
      </c>
      <c r="H192" s="113" t="s">
        <v>707</v>
      </c>
      <c r="I192" s="113">
        <v>1</v>
      </c>
    </row>
    <row r="193" spans="2:9" x14ac:dyDescent="0.25">
      <c r="B193" s="113" t="s">
        <v>1103</v>
      </c>
      <c r="C193" s="113" t="s">
        <v>1291</v>
      </c>
      <c r="D193" s="113" t="s">
        <v>42</v>
      </c>
      <c r="E193" s="113" t="s">
        <v>707</v>
      </c>
      <c r="F193" s="113" t="s">
        <v>707</v>
      </c>
      <c r="G193" s="113" t="s">
        <v>707</v>
      </c>
      <c r="H193" s="113" t="s">
        <v>707</v>
      </c>
      <c r="I193" s="113">
        <v>1</v>
      </c>
    </row>
    <row r="194" spans="2:9" x14ac:dyDescent="0.25">
      <c r="B194" s="113" t="s">
        <v>1103</v>
      </c>
      <c r="C194" s="113" t="s">
        <v>540</v>
      </c>
      <c r="D194" s="113" t="s">
        <v>42</v>
      </c>
      <c r="E194" s="113" t="s">
        <v>707</v>
      </c>
      <c r="F194" s="113" t="s">
        <v>707</v>
      </c>
      <c r="G194" s="113" t="s">
        <v>707</v>
      </c>
      <c r="H194" s="113" t="s">
        <v>707</v>
      </c>
      <c r="I194" s="113">
        <v>1</v>
      </c>
    </row>
    <row r="195" spans="2:9" x14ac:dyDescent="0.25">
      <c r="B195" s="113" t="s">
        <v>1103</v>
      </c>
      <c r="C195" s="113" t="s">
        <v>541</v>
      </c>
      <c r="D195" s="113" t="s">
        <v>42</v>
      </c>
      <c r="E195" s="113" t="s">
        <v>707</v>
      </c>
      <c r="F195" s="113" t="s">
        <v>707</v>
      </c>
      <c r="G195" s="113" t="s">
        <v>707</v>
      </c>
      <c r="H195" s="113" t="s">
        <v>707</v>
      </c>
      <c r="I195" s="113">
        <v>1</v>
      </c>
    </row>
    <row r="196" spans="2:9" x14ac:dyDescent="0.25">
      <c r="B196" s="113" t="s">
        <v>1103</v>
      </c>
      <c r="C196" s="113" t="s">
        <v>179</v>
      </c>
      <c r="D196" s="113" t="s">
        <v>42</v>
      </c>
      <c r="E196" s="113" t="s">
        <v>707</v>
      </c>
      <c r="F196" s="113" t="s">
        <v>707</v>
      </c>
      <c r="G196" s="113" t="s">
        <v>707</v>
      </c>
      <c r="H196" s="113" t="s">
        <v>707</v>
      </c>
      <c r="I196" s="113">
        <v>1</v>
      </c>
    </row>
    <row r="197" spans="2:9" x14ac:dyDescent="0.25">
      <c r="B197" s="113" t="s">
        <v>1103</v>
      </c>
      <c r="C197" s="113" t="s">
        <v>1286</v>
      </c>
      <c r="D197" s="113" t="s">
        <v>42</v>
      </c>
      <c r="E197" s="113" t="s">
        <v>707</v>
      </c>
      <c r="F197" s="113" t="s">
        <v>707</v>
      </c>
      <c r="G197" s="113" t="s">
        <v>707</v>
      </c>
      <c r="H197" s="113" t="s">
        <v>707</v>
      </c>
      <c r="I197" s="113">
        <v>1</v>
      </c>
    </row>
    <row r="198" spans="2:9" x14ac:dyDescent="0.25">
      <c r="B198" s="113" t="s">
        <v>1103</v>
      </c>
      <c r="C198" s="113" t="s">
        <v>1284</v>
      </c>
      <c r="D198" s="113" t="s">
        <v>42</v>
      </c>
      <c r="E198" s="113" t="s">
        <v>707</v>
      </c>
      <c r="F198" s="113" t="s">
        <v>707</v>
      </c>
      <c r="G198" s="113" t="s">
        <v>707</v>
      </c>
      <c r="H198" s="113" t="s">
        <v>707</v>
      </c>
      <c r="I198" s="113">
        <v>1</v>
      </c>
    </row>
    <row r="199" spans="2:9" x14ac:dyDescent="0.25">
      <c r="B199" s="113" t="s">
        <v>1103</v>
      </c>
      <c r="C199" s="113" t="s">
        <v>181</v>
      </c>
      <c r="D199" s="113" t="s">
        <v>42</v>
      </c>
      <c r="E199" s="113" t="s">
        <v>707</v>
      </c>
      <c r="F199" s="113" t="s">
        <v>707</v>
      </c>
      <c r="G199" s="113" t="s">
        <v>707</v>
      </c>
      <c r="H199" s="113" t="s">
        <v>707</v>
      </c>
      <c r="I199" s="113">
        <v>1</v>
      </c>
    </row>
    <row r="200" spans="2:9" x14ac:dyDescent="0.25">
      <c r="B200" s="113" t="s">
        <v>1103</v>
      </c>
      <c r="C200" s="113" t="s">
        <v>1281</v>
      </c>
      <c r="D200" s="113" t="s">
        <v>42</v>
      </c>
      <c r="E200" s="113" t="s">
        <v>707</v>
      </c>
      <c r="F200" s="113" t="s">
        <v>707</v>
      </c>
      <c r="G200" s="113" t="s">
        <v>707</v>
      </c>
      <c r="H200" s="113" t="s">
        <v>707</v>
      </c>
      <c r="I200" s="113">
        <v>1</v>
      </c>
    </row>
    <row r="201" spans="2:9" x14ac:dyDescent="0.25">
      <c r="B201" s="113" t="s">
        <v>1103</v>
      </c>
      <c r="C201" s="113" t="s">
        <v>1279</v>
      </c>
      <c r="D201" s="113" t="s">
        <v>42</v>
      </c>
      <c r="E201" s="113" t="s">
        <v>707</v>
      </c>
      <c r="F201" s="113" t="s">
        <v>707</v>
      </c>
      <c r="G201" s="113" t="s">
        <v>707</v>
      </c>
      <c r="H201" s="113" t="s">
        <v>707</v>
      </c>
      <c r="I201" s="113">
        <v>1</v>
      </c>
    </row>
    <row r="202" spans="2:9" x14ac:dyDescent="0.25">
      <c r="B202" s="113" t="s">
        <v>1103</v>
      </c>
      <c r="C202" s="113" t="s">
        <v>542</v>
      </c>
      <c r="D202" s="113" t="s">
        <v>42</v>
      </c>
      <c r="E202" s="113" t="s">
        <v>707</v>
      </c>
      <c r="F202" s="113" t="s">
        <v>707</v>
      </c>
      <c r="G202" s="113" t="s">
        <v>707</v>
      </c>
      <c r="H202" s="113" t="s">
        <v>707</v>
      </c>
      <c r="I202" s="113">
        <v>1</v>
      </c>
    </row>
    <row r="203" spans="2:9" x14ac:dyDescent="0.25">
      <c r="B203" s="113" t="s">
        <v>1103</v>
      </c>
      <c r="C203" s="113" t="s">
        <v>1276</v>
      </c>
      <c r="D203" s="113" t="s">
        <v>1350</v>
      </c>
      <c r="E203" s="113" t="s">
        <v>707</v>
      </c>
      <c r="F203" s="113" t="s">
        <v>707</v>
      </c>
      <c r="G203" s="113" t="s">
        <v>707</v>
      </c>
      <c r="H203" s="113" t="s">
        <v>707</v>
      </c>
      <c r="I203" s="113">
        <v>1</v>
      </c>
    </row>
    <row r="204" spans="2:9" x14ac:dyDescent="0.25">
      <c r="B204" s="113" t="s">
        <v>1103</v>
      </c>
      <c r="C204" s="113" t="s">
        <v>1274</v>
      </c>
      <c r="D204" s="113" t="s">
        <v>1348</v>
      </c>
      <c r="E204" s="113" t="s">
        <v>707</v>
      </c>
      <c r="F204" s="113" t="s">
        <v>707</v>
      </c>
      <c r="G204" s="113" t="s">
        <v>707</v>
      </c>
      <c r="H204" s="113" t="s">
        <v>707</v>
      </c>
      <c r="I204" s="113">
        <v>1</v>
      </c>
    </row>
    <row r="205" spans="2:9" x14ac:dyDescent="0.25">
      <c r="B205" s="113" t="s">
        <v>1103</v>
      </c>
      <c r="C205" s="113" t="s">
        <v>1272</v>
      </c>
      <c r="D205" s="113" t="s">
        <v>40</v>
      </c>
      <c r="E205" s="113" t="s">
        <v>707</v>
      </c>
      <c r="F205" s="113" t="s">
        <v>707</v>
      </c>
      <c r="G205" s="113" t="s">
        <v>707</v>
      </c>
      <c r="H205" s="113" t="s">
        <v>707</v>
      </c>
      <c r="I205" s="113">
        <v>1</v>
      </c>
    </row>
    <row r="206" spans="2:9" x14ac:dyDescent="0.25">
      <c r="B206" s="113" t="s">
        <v>1103</v>
      </c>
      <c r="C206" s="113" t="s">
        <v>1270</v>
      </c>
      <c r="D206" s="113" t="s">
        <v>592</v>
      </c>
      <c r="E206" s="113" t="s">
        <v>707</v>
      </c>
      <c r="F206" s="113" t="s">
        <v>707</v>
      </c>
      <c r="G206" s="113" t="s">
        <v>707</v>
      </c>
      <c r="H206" s="113" t="s">
        <v>707</v>
      </c>
      <c r="I206" s="113">
        <v>1</v>
      </c>
    </row>
    <row r="207" spans="2:9" x14ac:dyDescent="0.25">
      <c r="B207" s="113" t="s">
        <v>1103</v>
      </c>
      <c r="C207" s="113" t="s">
        <v>1268</v>
      </c>
      <c r="D207" s="113" t="s">
        <v>1337</v>
      </c>
      <c r="E207" s="113" t="s">
        <v>707</v>
      </c>
      <c r="F207" s="113" t="s">
        <v>707</v>
      </c>
      <c r="G207" s="113" t="s">
        <v>707</v>
      </c>
      <c r="H207" s="113" t="s">
        <v>707</v>
      </c>
      <c r="I207" s="113">
        <v>1</v>
      </c>
    </row>
    <row r="208" spans="2:9" x14ac:dyDescent="0.25">
      <c r="B208" s="113" t="s">
        <v>1103</v>
      </c>
      <c r="C208" s="113" t="s">
        <v>1266</v>
      </c>
      <c r="D208" s="113" t="s">
        <v>595</v>
      </c>
      <c r="E208" s="113" t="s">
        <v>707</v>
      </c>
      <c r="F208" s="113" t="s">
        <v>707</v>
      </c>
      <c r="G208" s="113" t="s">
        <v>707</v>
      </c>
      <c r="H208" s="113" t="s">
        <v>707</v>
      </c>
      <c r="I208" s="113">
        <v>1</v>
      </c>
    </row>
    <row r="209" spans="1:9" x14ac:dyDescent="0.25">
      <c r="B209" s="113" t="s">
        <v>1103</v>
      </c>
      <c r="C209" s="113" t="s">
        <v>1264</v>
      </c>
      <c r="D209" s="113" t="s">
        <v>41</v>
      </c>
      <c r="E209" s="113" t="s">
        <v>707</v>
      </c>
      <c r="F209" s="113" t="s">
        <v>707</v>
      </c>
      <c r="G209" s="113" t="s">
        <v>707</v>
      </c>
      <c r="H209" s="113" t="s">
        <v>707</v>
      </c>
      <c r="I209" s="113">
        <v>1</v>
      </c>
    </row>
    <row r="210" spans="1:9" x14ac:dyDescent="0.25">
      <c r="B210" s="113" t="s">
        <v>1103</v>
      </c>
      <c r="C210" s="113" t="s">
        <v>1262</v>
      </c>
      <c r="D210" s="113" t="s">
        <v>1335</v>
      </c>
      <c r="E210" s="113" t="s">
        <v>707</v>
      </c>
      <c r="F210" s="113" t="s">
        <v>707</v>
      </c>
      <c r="G210" s="113" t="s">
        <v>707</v>
      </c>
      <c r="H210" s="113" t="s">
        <v>707</v>
      </c>
      <c r="I210" s="113">
        <v>1</v>
      </c>
    </row>
    <row r="211" spans="1:9" x14ac:dyDescent="0.25">
      <c r="A211" s="113" t="s">
        <v>1052</v>
      </c>
      <c r="B211" s="113" t="s">
        <v>1457</v>
      </c>
      <c r="C211" s="113" t="s">
        <v>1429</v>
      </c>
      <c r="D211" s="113" t="s">
        <v>707</v>
      </c>
      <c r="E211" s="113" t="s">
        <v>707</v>
      </c>
      <c r="F211" s="113" t="s">
        <v>707</v>
      </c>
      <c r="G211" s="113" t="s">
        <v>707</v>
      </c>
      <c r="H211" s="113" t="s">
        <v>707</v>
      </c>
      <c r="I211" s="113">
        <v>1</v>
      </c>
    </row>
    <row r="212" spans="1:9" x14ac:dyDescent="0.25">
      <c r="A212" s="113" t="s">
        <v>1052</v>
      </c>
      <c r="B212" s="113" t="s">
        <v>1457</v>
      </c>
      <c r="C212" s="113" t="s">
        <v>1427</v>
      </c>
      <c r="D212" s="113" t="s">
        <v>707</v>
      </c>
      <c r="E212" s="113" t="s">
        <v>707</v>
      </c>
      <c r="F212" s="113" t="s">
        <v>707</v>
      </c>
      <c r="G212" s="113" t="s">
        <v>707</v>
      </c>
      <c r="H212" s="113" t="s">
        <v>707</v>
      </c>
      <c r="I212" s="113">
        <v>1</v>
      </c>
    </row>
    <row r="213" spans="1:9" x14ac:dyDescent="0.25">
      <c r="A213" s="113" t="s">
        <v>1052</v>
      </c>
      <c r="B213" s="113" t="s">
        <v>1457</v>
      </c>
      <c r="C213" s="113" t="s">
        <v>1425</v>
      </c>
      <c r="D213" s="113" t="s">
        <v>707</v>
      </c>
      <c r="E213" s="113" t="s">
        <v>707</v>
      </c>
      <c r="F213" s="113" t="s">
        <v>707</v>
      </c>
      <c r="G213" s="113" t="s">
        <v>707</v>
      </c>
      <c r="H213" s="113" t="s">
        <v>707</v>
      </c>
      <c r="I213" s="113">
        <v>1</v>
      </c>
    </row>
    <row r="214" spans="1:9" x14ac:dyDescent="0.25">
      <c r="A214" s="113" t="s">
        <v>1052</v>
      </c>
      <c r="B214" s="113" t="s">
        <v>1457</v>
      </c>
      <c r="C214" s="113" t="s">
        <v>1423</v>
      </c>
      <c r="D214" s="113" t="s">
        <v>707</v>
      </c>
      <c r="E214" s="113" t="s">
        <v>707</v>
      </c>
      <c r="F214" s="113" t="s">
        <v>707</v>
      </c>
      <c r="G214" s="113" t="s">
        <v>707</v>
      </c>
      <c r="H214" s="113" t="s">
        <v>707</v>
      </c>
      <c r="I214" s="113">
        <v>1</v>
      </c>
    </row>
    <row r="215" spans="1:9" x14ac:dyDescent="0.25">
      <c r="A215" s="113" t="s">
        <v>1052</v>
      </c>
      <c r="B215" s="113" t="s">
        <v>1457</v>
      </c>
      <c r="C215" s="113" t="s">
        <v>1421</v>
      </c>
      <c r="D215" s="113" t="s">
        <v>707</v>
      </c>
      <c r="E215" s="113" t="s">
        <v>707</v>
      </c>
      <c r="F215" s="113" t="s">
        <v>707</v>
      </c>
      <c r="G215" s="113" t="s">
        <v>707</v>
      </c>
      <c r="H215" s="113" t="s">
        <v>707</v>
      </c>
      <c r="I215" s="113">
        <v>1</v>
      </c>
    </row>
    <row r="216" spans="1:9" x14ac:dyDescent="0.25">
      <c r="A216" s="113" t="s">
        <v>1052</v>
      </c>
      <c r="B216" s="113" t="s">
        <v>1457</v>
      </c>
      <c r="C216" s="113" t="s">
        <v>1419</v>
      </c>
      <c r="D216" s="113" t="s">
        <v>707</v>
      </c>
      <c r="E216" s="113" t="s">
        <v>707</v>
      </c>
      <c r="F216" s="113" t="s">
        <v>707</v>
      </c>
      <c r="G216" s="113" t="s">
        <v>707</v>
      </c>
      <c r="H216" s="113" t="s">
        <v>707</v>
      </c>
      <c r="I216" s="113">
        <v>1</v>
      </c>
    </row>
    <row r="217" spans="1:9" x14ac:dyDescent="0.25">
      <c r="A217" s="113" t="s">
        <v>1052</v>
      </c>
      <c r="B217" s="113" t="s">
        <v>1457</v>
      </c>
      <c r="C217" s="113" t="s">
        <v>1417</v>
      </c>
      <c r="D217" s="113" t="s">
        <v>707</v>
      </c>
      <c r="E217" s="113" t="s">
        <v>707</v>
      </c>
      <c r="F217" s="113" t="s">
        <v>707</v>
      </c>
      <c r="G217" s="113" t="s">
        <v>707</v>
      </c>
      <c r="H217" s="113" t="s">
        <v>707</v>
      </c>
      <c r="I217" s="113">
        <v>1</v>
      </c>
    </row>
    <row r="218" spans="1:9" x14ac:dyDescent="0.25">
      <c r="A218" s="113" t="s">
        <v>1052</v>
      </c>
      <c r="B218" s="113" t="s">
        <v>1457</v>
      </c>
      <c r="C218" s="113" t="s">
        <v>1415</v>
      </c>
      <c r="D218" s="113" t="s">
        <v>707</v>
      </c>
      <c r="E218" s="113" t="s">
        <v>707</v>
      </c>
      <c r="F218" s="113" t="s">
        <v>707</v>
      </c>
      <c r="G218" s="113" t="s">
        <v>707</v>
      </c>
      <c r="H218" s="113" t="s">
        <v>707</v>
      </c>
      <c r="I218" s="113">
        <v>1</v>
      </c>
    </row>
    <row r="219" spans="1:9" x14ac:dyDescent="0.25">
      <c r="A219" s="113" t="s">
        <v>1052</v>
      </c>
      <c r="B219" s="113" t="s">
        <v>1457</v>
      </c>
      <c r="C219" s="113" t="s">
        <v>1413</v>
      </c>
      <c r="D219" s="113" t="s">
        <v>707</v>
      </c>
      <c r="E219" s="113" t="s">
        <v>707</v>
      </c>
      <c r="F219" s="113" t="s">
        <v>707</v>
      </c>
      <c r="G219" s="113" t="s">
        <v>707</v>
      </c>
      <c r="H219" s="113" t="s">
        <v>707</v>
      </c>
      <c r="I219" s="113">
        <v>1</v>
      </c>
    </row>
    <row r="220" spans="1:9" x14ac:dyDescent="0.25">
      <c r="A220" s="113" t="s">
        <v>1052</v>
      </c>
      <c r="B220" s="113" t="s">
        <v>1457</v>
      </c>
      <c r="C220" s="113" t="s">
        <v>1411</v>
      </c>
      <c r="D220" s="113" t="s">
        <v>707</v>
      </c>
      <c r="E220" s="113" t="s">
        <v>707</v>
      </c>
      <c r="F220" s="113" t="s">
        <v>707</v>
      </c>
      <c r="G220" s="113" t="s">
        <v>707</v>
      </c>
      <c r="H220" s="113" t="s">
        <v>707</v>
      </c>
      <c r="I220" s="113">
        <v>1</v>
      </c>
    </row>
    <row r="221" spans="1:9" x14ac:dyDescent="0.25">
      <c r="A221" s="113" t="s">
        <v>1052</v>
      </c>
      <c r="B221" s="113" t="s">
        <v>1457</v>
      </c>
      <c r="C221" s="113" t="s">
        <v>1409</v>
      </c>
      <c r="D221" s="113" t="s">
        <v>707</v>
      </c>
      <c r="E221" s="113" t="s">
        <v>707</v>
      </c>
      <c r="F221" s="113" t="s">
        <v>707</v>
      </c>
      <c r="G221" s="113" t="s">
        <v>707</v>
      </c>
      <c r="H221" s="113" t="s">
        <v>707</v>
      </c>
      <c r="I221" s="113">
        <v>1</v>
      </c>
    </row>
    <row r="222" spans="1:9" x14ac:dyDescent="0.25">
      <c r="A222" s="113" t="s">
        <v>1052</v>
      </c>
      <c r="B222" s="113" t="s">
        <v>1457</v>
      </c>
      <c r="C222" s="113" t="s">
        <v>1407</v>
      </c>
      <c r="D222" s="113" t="s">
        <v>707</v>
      </c>
      <c r="E222" s="113" t="s">
        <v>707</v>
      </c>
      <c r="F222" s="113" t="s">
        <v>707</v>
      </c>
      <c r="G222" s="113" t="s">
        <v>707</v>
      </c>
      <c r="H222" s="113" t="s">
        <v>707</v>
      </c>
      <c r="I222" s="113">
        <v>1</v>
      </c>
    </row>
    <row r="223" spans="1:9" x14ac:dyDescent="0.25">
      <c r="B223" s="113" t="s">
        <v>1457</v>
      </c>
      <c r="C223" s="113" t="s">
        <v>1405</v>
      </c>
      <c r="D223" s="113" t="s">
        <v>707</v>
      </c>
      <c r="E223" s="113" t="s">
        <v>707</v>
      </c>
      <c r="F223" s="113" t="s">
        <v>707</v>
      </c>
      <c r="G223" s="113" t="s">
        <v>707</v>
      </c>
      <c r="H223" s="113" t="s">
        <v>707</v>
      </c>
      <c r="I223" s="113">
        <v>1</v>
      </c>
    </row>
    <row r="224" spans="1:9" x14ac:dyDescent="0.25">
      <c r="B224" s="113" t="s">
        <v>1457</v>
      </c>
      <c r="C224" s="113" t="s">
        <v>1403</v>
      </c>
      <c r="D224" s="113" t="s">
        <v>707</v>
      </c>
      <c r="E224" s="113" t="s">
        <v>707</v>
      </c>
      <c r="F224" s="113" t="s">
        <v>707</v>
      </c>
      <c r="G224" s="113" t="s">
        <v>707</v>
      </c>
      <c r="H224" s="113" t="s">
        <v>707</v>
      </c>
      <c r="I224" s="113">
        <v>1</v>
      </c>
    </row>
    <row r="225" spans="1:9" x14ac:dyDescent="0.25">
      <c r="B225" s="113" t="s">
        <v>1457</v>
      </c>
      <c r="C225" s="113" t="s">
        <v>1401</v>
      </c>
      <c r="D225" s="113" t="s">
        <v>707</v>
      </c>
      <c r="E225" s="113" t="s">
        <v>707</v>
      </c>
      <c r="F225" s="113" t="s">
        <v>707</v>
      </c>
      <c r="G225" s="113" t="s">
        <v>707</v>
      </c>
      <c r="H225" s="113" t="s">
        <v>707</v>
      </c>
      <c r="I225" s="113">
        <v>1</v>
      </c>
    </row>
    <row r="226" spans="1:9" x14ac:dyDescent="0.25">
      <c r="A226" s="113" t="s">
        <v>1052</v>
      </c>
      <c r="B226" s="113" t="s">
        <v>1457</v>
      </c>
      <c r="C226" s="113" t="s">
        <v>1399</v>
      </c>
      <c r="D226" s="113" t="s">
        <v>707</v>
      </c>
      <c r="E226" s="113" t="s">
        <v>707</v>
      </c>
      <c r="F226" s="113" t="s">
        <v>707</v>
      </c>
      <c r="G226" s="113" t="s">
        <v>707</v>
      </c>
      <c r="H226" s="113" t="s">
        <v>707</v>
      </c>
      <c r="I226" s="113">
        <v>1</v>
      </c>
    </row>
    <row r="227" spans="1:9" x14ac:dyDescent="0.25">
      <c r="A227" s="113" t="s">
        <v>1052</v>
      </c>
      <c r="B227" s="113" t="s">
        <v>1457</v>
      </c>
      <c r="C227" s="113" t="s">
        <v>1396</v>
      </c>
      <c r="D227" s="113" t="s">
        <v>707</v>
      </c>
      <c r="E227" s="113" t="s">
        <v>707</v>
      </c>
      <c r="F227" s="113" t="s">
        <v>707</v>
      </c>
      <c r="G227" s="113" t="s">
        <v>707</v>
      </c>
      <c r="H227" s="113" t="s">
        <v>707</v>
      </c>
      <c r="I227" s="113">
        <v>1</v>
      </c>
    </row>
    <row r="228" spans="1:9" x14ac:dyDescent="0.25">
      <c r="B228" s="113" t="s">
        <v>1109</v>
      </c>
      <c r="C228" s="113" t="s">
        <v>542</v>
      </c>
      <c r="D228" s="113" t="s">
        <v>707</v>
      </c>
      <c r="E228" s="113" t="s">
        <v>707</v>
      </c>
      <c r="F228" s="113" t="s">
        <v>707</v>
      </c>
      <c r="G228" s="113" t="s">
        <v>707</v>
      </c>
      <c r="H228" s="113" t="s">
        <v>707</v>
      </c>
      <c r="I228" s="113">
        <v>2025</v>
      </c>
    </row>
    <row r="229" spans="1:9" x14ac:dyDescent="0.25">
      <c r="B229" s="113" t="s">
        <v>1109</v>
      </c>
      <c r="C229" s="113" t="s">
        <v>539</v>
      </c>
      <c r="D229" s="113" t="s">
        <v>707</v>
      </c>
      <c r="E229" s="113" t="s">
        <v>707</v>
      </c>
      <c r="F229" s="113" t="s">
        <v>707</v>
      </c>
      <c r="G229" s="113" t="s">
        <v>707</v>
      </c>
      <c r="H229" s="113" t="s">
        <v>707</v>
      </c>
      <c r="I229" s="113">
        <v>2025</v>
      </c>
    </row>
    <row r="230" spans="1:9" x14ac:dyDescent="0.25">
      <c r="B230" s="113" t="s">
        <v>1109</v>
      </c>
      <c r="C230" s="113" t="s">
        <v>540</v>
      </c>
      <c r="D230" s="113" t="s">
        <v>707</v>
      </c>
      <c r="E230" s="113" t="s">
        <v>707</v>
      </c>
      <c r="F230" s="113" t="s">
        <v>707</v>
      </c>
      <c r="G230" s="113" t="s">
        <v>707</v>
      </c>
      <c r="H230" s="113" t="s">
        <v>707</v>
      </c>
      <c r="I230" s="113">
        <v>2025</v>
      </c>
    </row>
    <row r="231" spans="1:9" x14ac:dyDescent="0.25">
      <c r="B231" s="113" t="s">
        <v>1109</v>
      </c>
      <c r="C231" s="113" t="s">
        <v>541</v>
      </c>
      <c r="D231" s="113" t="s">
        <v>707</v>
      </c>
      <c r="E231" s="113" t="s">
        <v>707</v>
      </c>
      <c r="F231" s="113" t="s">
        <v>707</v>
      </c>
      <c r="G231" s="113" t="s">
        <v>707</v>
      </c>
      <c r="H231" s="113" t="s">
        <v>707</v>
      </c>
      <c r="I231" s="113">
        <v>2025</v>
      </c>
    </row>
    <row r="232" spans="1:9" x14ac:dyDescent="0.25">
      <c r="B232" s="113" t="s">
        <v>1103</v>
      </c>
      <c r="C232" s="113" t="s">
        <v>170</v>
      </c>
      <c r="D232" s="113" t="s">
        <v>1550</v>
      </c>
      <c r="E232" s="113" t="s">
        <v>707</v>
      </c>
      <c r="F232" s="113" t="s">
        <v>707</v>
      </c>
      <c r="G232" s="113" t="s">
        <v>707</v>
      </c>
      <c r="H232" s="113" t="s">
        <v>707</v>
      </c>
      <c r="I232" s="113">
        <v>1</v>
      </c>
    </row>
    <row r="233" spans="1:9" x14ac:dyDescent="0.25">
      <c r="B233" s="113" t="s">
        <v>1103</v>
      </c>
      <c r="C233" s="113" t="s">
        <v>1306</v>
      </c>
      <c r="D233" s="113" t="s">
        <v>1550</v>
      </c>
      <c r="E233" s="113" t="s">
        <v>707</v>
      </c>
      <c r="F233" s="113" t="s">
        <v>707</v>
      </c>
      <c r="G233" s="113" t="s">
        <v>707</v>
      </c>
      <c r="H233" s="113" t="s">
        <v>707</v>
      </c>
      <c r="I233" s="113">
        <v>1</v>
      </c>
    </row>
    <row r="234" spans="1:9" x14ac:dyDescent="0.25">
      <c r="B234" s="113" t="s">
        <v>1103</v>
      </c>
      <c r="C234" s="113" t="s">
        <v>1304</v>
      </c>
      <c r="D234" s="113" t="s">
        <v>1550</v>
      </c>
      <c r="E234" s="113" t="s">
        <v>707</v>
      </c>
      <c r="F234" s="113" t="s">
        <v>707</v>
      </c>
      <c r="G234" s="113" t="s">
        <v>707</v>
      </c>
      <c r="H234" s="113" t="s">
        <v>707</v>
      </c>
      <c r="I234" s="113">
        <v>1</v>
      </c>
    </row>
    <row r="235" spans="1:9" x14ac:dyDescent="0.25">
      <c r="B235" s="113" t="s">
        <v>1103</v>
      </c>
      <c r="C235" s="113" t="s">
        <v>539</v>
      </c>
      <c r="D235" s="113" t="s">
        <v>1550</v>
      </c>
      <c r="E235" s="113" t="s">
        <v>707</v>
      </c>
      <c r="F235" s="113" t="s">
        <v>707</v>
      </c>
      <c r="G235" s="113" t="s">
        <v>707</v>
      </c>
      <c r="H235" s="113" t="s">
        <v>707</v>
      </c>
      <c r="I235" s="113">
        <v>1</v>
      </c>
    </row>
  </sheetData>
  <autoFilter ref="A1:I231" xr:uid="{00000000-0009-0000-0000-00002900000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D61A0-1043-4E12-8053-92BB1E540545}">
  <sheetPr>
    <tabColor theme="0" tint="-0.34998626667073579"/>
  </sheetPr>
  <dimension ref="A1:BO156"/>
  <sheetViews>
    <sheetView topLeftCell="A7" zoomScale="85" zoomScaleNormal="85" workbookViewId="0">
      <selection activeCell="V13" sqref="V13:V17"/>
    </sheetView>
  </sheetViews>
  <sheetFormatPr defaultRowHeight="12.75" x14ac:dyDescent="0.2"/>
  <cols>
    <col min="1" max="1" width="9.140625" style="555"/>
    <col min="2" max="2" width="13.85546875" style="555" customWidth="1"/>
    <col min="3" max="3" width="13.28515625" style="555" customWidth="1"/>
    <col min="4" max="4" width="9.140625" style="555"/>
    <col min="5" max="5" width="16.28515625" style="555" customWidth="1"/>
    <col min="6" max="19" width="9.140625" style="555"/>
    <col min="20" max="21" width="11.85546875" style="555" bestFit="1" customWidth="1"/>
    <col min="22" max="23" width="9.140625" style="555"/>
    <col min="24" max="24" width="13.5703125" style="555" customWidth="1"/>
    <col min="25" max="28" width="9.140625" style="555"/>
    <col min="29" max="29" width="21.140625" style="555" customWidth="1"/>
    <col min="30" max="30" width="25.28515625" style="555" customWidth="1"/>
    <col min="31" max="16384" width="9.140625" style="555"/>
  </cols>
  <sheetData>
    <row r="1" spans="1:40" x14ac:dyDescent="0.2">
      <c r="A1" s="555" t="s">
        <v>1513</v>
      </c>
    </row>
    <row r="3" spans="1:40" x14ac:dyDescent="0.2">
      <c r="A3" s="555" t="s">
        <v>1512</v>
      </c>
      <c r="J3" s="650" t="s">
        <v>1511</v>
      </c>
      <c r="K3" s="637"/>
      <c r="L3" s="637"/>
      <c r="M3" s="637"/>
    </row>
    <row r="4" spans="1:40" x14ac:dyDescent="0.2">
      <c r="A4" s="555" t="s">
        <v>1510</v>
      </c>
      <c r="J4" s="651" t="s">
        <v>1509</v>
      </c>
    </row>
    <row r="5" spans="1:40" x14ac:dyDescent="0.2">
      <c r="A5" s="555" t="s">
        <v>1508</v>
      </c>
    </row>
    <row r="6" spans="1:40" x14ac:dyDescent="0.2">
      <c r="A6" s="572" t="s">
        <v>1507</v>
      </c>
    </row>
    <row r="7" spans="1:40" x14ac:dyDescent="0.2">
      <c r="A7" s="572"/>
    </row>
    <row r="9" spans="1:40" x14ac:dyDescent="0.2">
      <c r="X9" s="572" t="s">
        <v>1506</v>
      </c>
    </row>
    <row r="10" spans="1:40" x14ac:dyDescent="0.2">
      <c r="B10" s="570"/>
      <c r="C10" s="569"/>
      <c r="D10" s="569"/>
      <c r="E10" s="569"/>
      <c r="F10" s="569"/>
      <c r="G10" s="569"/>
      <c r="H10" s="569"/>
      <c r="I10" s="569"/>
      <c r="J10" s="569"/>
      <c r="K10" s="568"/>
      <c r="V10" s="555">
        <v>0</v>
      </c>
      <c r="X10" s="571" t="s">
        <v>906</v>
      </c>
      <c r="Y10" s="569"/>
      <c r="Z10" s="569"/>
      <c r="AA10" s="569"/>
      <c r="AB10" s="569"/>
      <c r="AC10" s="569"/>
      <c r="AD10" s="569"/>
      <c r="AE10" s="569"/>
      <c r="AF10" s="569"/>
      <c r="AG10" s="569"/>
    </row>
    <row r="11" spans="1:40" x14ac:dyDescent="0.2">
      <c r="B11" s="560"/>
      <c r="C11" s="637" t="s">
        <v>906</v>
      </c>
      <c r="E11" s="637" t="s">
        <v>908</v>
      </c>
      <c r="F11" s="637"/>
      <c r="G11" s="637"/>
      <c r="H11" s="637"/>
      <c r="J11" s="650" t="s">
        <v>1451</v>
      </c>
      <c r="K11" s="649" t="s">
        <v>1505</v>
      </c>
      <c r="R11" s="555">
        <v>2012</v>
      </c>
      <c r="S11" s="572"/>
      <c r="X11" s="560" t="s">
        <v>170</v>
      </c>
      <c r="Z11" s="625">
        <f>'[18]SATIM input'!C57</f>
        <v>16.42657042314022</v>
      </c>
      <c r="AD11" s="572" t="s">
        <v>932</v>
      </c>
      <c r="AF11" s="572" t="s">
        <v>1504</v>
      </c>
    </row>
    <row r="12" spans="1:40" x14ac:dyDescent="0.2">
      <c r="B12" s="560"/>
      <c r="C12" s="637"/>
      <c r="E12" s="637" t="s">
        <v>13</v>
      </c>
      <c r="F12" s="637" t="s">
        <v>201</v>
      </c>
      <c r="G12" s="637" t="s">
        <v>14</v>
      </c>
      <c r="H12" s="637" t="s">
        <v>11</v>
      </c>
      <c r="J12" s="637"/>
      <c r="K12" s="559"/>
      <c r="O12" s="567" t="s">
        <v>1503</v>
      </c>
      <c r="P12" s="567" t="s">
        <v>1502</v>
      </c>
      <c r="R12" s="555" t="s">
        <v>1501</v>
      </c>
      <c r="S12" s="555" t="s">
        <v>1500</v>
      </c>
      <c r="T12" s="555" t="s">
        <v>1499</v>
      </c>
      <c r="U12" s="555" t="s">
        <v>1498</v>
      </c>
      <c r="V12" s="572" t="s">
        <v>1497</v>
      </c>
      <c r="X12" s="560" t="s">
        <v>539</v>
      </c>
      <c r="Z12" s="625">
        <f>'[18]SATIM input'!C58</f>
        <v>16.42657042314022</v>
      </c>
      <c r="AC12" s="572" t="s">
        <v>1496</v>
      </c>
      <c r="AD12" s="572" t="s">
        <v>1495</v>
      </c>
      <c r="AF12" s="555">
        <v>2012</v>
      </c>
      <c r="AG12" s="555">
        <v>2013</v>
      </c>
      <c r="AH12" s="555">
        <v>2014</v>
      </c>
      <c r="AI12" s="555">
        <v>2015</v>
      </c>
      <c r="AJ12" s="555">
        <v>2016</v>
      </c>
      <c r="AK12" s="555">
        <v>2017</v>
      </c>
      <c r="AL12" s="555">
        <v>2018</v>
      </c>
      <c r="AM12" s="555">
        <v>2019</v>
      </c>
      <c r="AN12" s="555">
        <v>2020</v>
      </c>
    </row>
    <row r="13" spans="1:40" ht="15" x14ac:dyDescent="0.25">
      <c r="B13" s="560" t="str">
        <f>'[19]New I&amp;S model detail'!B81</f>
        <v>BF-BOF</v>
      </c>
      <c r="C13" s="647">
        <f>'[19]New I&amp;S model detail'!S81</f>
        <v>21.400691692311092</v>
      </c>
      <c r="D13" s="567"/>
      <c r="E13" s="646">
        <f>INDEX('[19]New I&amp;S model detail'!$O$90:$R$94,MATCH($B13,'[19]New I&amp;S model detail'!$S$90:$S$94,0),MATCH(E$12,'[19]New I&amp;S model detail'!$O$80:$R$80,0))</f>
        <v>0.20494664672805019</v>
      </c>
      <c r="F13" s="646">
        <f>INDEX('[19]New I&amp;S model detail'!$O$90:$R$94,MATCH($B13,'[19]New I&amp;S model detail'!$S$90:$S$94,0),MATCH(F$12,'[19]New I&amp;S model detail'!$O$80:$R$80,0))</f>
        <v>0.23508585948217525</v>
      </c>
      <c r="G13" s="646">
        <f>INDEX('[19]New I&amp;S model detail'!$O$90:$R$94,MATCH($B13,'[19]New I&amp;S model detail'!$S$90:$S$94,0),MATCH(G$12,'[19]New I&amp;S model detail'!$O$80:$R$80,0))</f>
        <v>0.13801851523202419</v>
      </c>
      <c r="H13" s="646">
        <f>INDEX('[19]New I&amp;S model detail'!$O$90:$R$94,MATCH($B13,'[19]New I&amp;S model detail'!$S$90:$S$94,0),MATCH(H$12,'[19]New I&amp;S model detail'!$O$80:$R$80,0))</f>
        <v>0.42194897855775038</v>
      </c>
      <c r="I13" s="625"/>
      <c r="J13" s="645">
        <f>INDEX('[19]New I&amp;S model detail'!$C$81:$C$85,MATCH(B13,'[19]New I&amp;S model detail'!$B$81:$B$85,0))</f>
        <v>4.9000000000000004</v>
      </c>
      <c r="K13" s="644">
        <f>INDEX('[19]New I&amp;S model detail'!$D$81:$D$85,MATCH(B13,'[19]New I&amp;S model detail'!$B$81:$B$85,0))</f>
        <v>3.3</v>
      </c>
      <c r="L13" s="113" t="s">
        <v>170</v>
      </c>
      <c r="O13" s="113" t="s">
        <v>170</v>
      </c>
      <c r="P13" s="572" t="s">
        <v>7</v>
      </c>
      <c r="R13" s="625">
        <f>K13</f>
        <v>3.3</v>
      </c>
      <c r="S13" s="632">
        <f>R13</f>
        <v>3.3</v>
      </c>
      <c r="T13" s="625">
        <f>K13/J13</f>
        <v>0.6734693877551019</v>
      </c>
      <c r="U13" s="637">
        <f>IF(T13&gt;0.85,T13,0.85)</f>
        <v>0.85</v>
      </c>
      <c r="V13" s="555">
        <f>IF(T13&lt;$V$10,T13,$V$10)</f>
        <v>0</v>
      </c>
      <c r="X13" s="560" t="s">
        <v>172</v>
      </c>
      <c r="Z13" s="625">
        <f>'[18]SATIM input'!C59</f>
        <v>22.151676172353415</v>
      </c>
      <c r="AB13" s="560" t="s">
        <v>170</v>
      </c>
      <c r="AC13" s="565">
        <f>'[18]SATIM input'!C22</f>
        <v>0.6889960595189083</v>
      </c>
      <c r="AD13" s="643">
        <f>MAX(AC13,90%)</f>
        <v>0.9</v>
      </c>
      <c r="AF13" s="642">
        <f>'[18]SATIM input'!D22</f>
        <v>3.3</v>
      </c>
      <c r="AG13" s="642">
        <f>'[18]SATIM input'!E22</f>
        <v>3.3760806916426511</v>
      </c>
      <c r="AH13" s="642">
        <f>'[18]SATIM input'!F22</f>
        <v>3.0907780979827089</v>
      </c>
      <c r="AI13" s="642">
        <f>'[18]SATIM input'!G22</f>
        <v>3.1641891891891891</v>
      </c>
      <c r="AJ13" s="642">
        <f>'[18]SATIM input'!H22</f>
        <v>3.1641891891891891</v>
      </c>
      <c r="AK13" s="642">
        <f>'[18]SATIM input'!I22</f>
        <v>3.0330810810810807</v>
      </c>
      <c r="AL13" s="642">
        <f>'[18]SATIM input'!J22</f>
        <v>3.2032972972972971</v>
      </c>
      <c r="AM13" s="642">
        <f>'[18]SATIM input'!K22</f>
        <v>3.0300947810555652</v>
      </c>
      <c r="AN13" s="642">
        <f>'[18]SATIM input'!L22</f>
        <v>3.0300947810555652</v>
      </c>
    </row>
    <row r="14" spans="1:40" ht="15" x14ac:dyDescent="0.25">
      <c r="B14" s="560" t="str">
        <f>'[19]New I&amp;S model detail'!B82</f>
        <v>Scrap-EAF</v>
      </c>
      <c r="C14" s="647">
        <f>'[19]New I&amp;S model detail'!S82</f>
        <v>10</v>
      </c>
      <c r="D14" s="567"/>
      <c r="E14" s="646">
        <f>INDEX('[19]New I&amp;S model detail'!$O$90:$R$94,MATCH($B14,'[19]New I&amp;S model detail'!$S$90:$S$94,0),MATCH(E$12,'[19]New I&amp;S model detail'!$O$80:$R$80,0))</f>
        <v>0.25</v>
      </c>
      <c r="F14" s="646">
        <f>INDEX('[19]New I&amp;S model detail'!$O$90:$R$94,MATCH($B14,'[19]New I&amp;S model detail'!$S$90:$S$94,0),MATCH(F$12,'[19]New I&amp;S model detail'!$O$80:$R$80,0))</f>
        <v>0</v>
      </c>
      <c r="G14" s="646">
        <f>INDEX('[19]New I&amp;S model detail'!$O$90:$R$94,MATCH($B14,'[19]New I&amp;S model detail'!$S$90:$S$94,0),MATCH(G$12,'[19]New I&amp;S model detail'!$O$80:$R$80,0))</f>
        <v>0.75</v>
      </c>
      <c r="H14" s="646">
        <f>INDEX('[19]New I&amp;S model detail'!$O$90:$R$94,MATCH($B14,'[19]New I&amp;S model detail'!$S$90:$S$94,0),MATCH(H$12,'[19]New I&amp;S model detail'!$O$80:$R$80,0))</f>
        <v>0</v>
      </c>
      <c r="I14" s="625"/>
      <c r="J14" s="645">
        <f>INDEX('[19]New I&amp;S model detail'!$C$81:$C$85,MATCH(B14,'[19]New I&amp;S model detail'!$B$81:$B$85,0))</f>
        <v>1.7200000000000002</v>
      </c>
      <c r="K14" s="644">
        <f>INDEX('[19]New I&amp;S model detail'!$D$81:$D$85,MATCH(B14,'[19]New I&amp;S model detail'!$B$81:$B$85,0))</f>
        <v>0.86</v>
      </c>
      <c r="L14" s="113" t="s">
        <v>181</v>
      </c>
      <c r="O14" s="113" t="s">
        <v>172</v>
      </c>
      <c r="P14" s="572" t="s">
        <v>173</v>
      </c>
      <c r="R14" s="625">
        <f>K14</f>
        <v>0.86</v>
      </c>
      <c r="S14" s="632">
        <f>R14</f>
        <v>0.86</v>
      </c>
      <c r="T14" s="625">
        <f>K14/J14</f>
        <v>0.49999999999999994</v>
      </c>
      <c r="U14" s="637">
        <f>IF(T14&gt;0.85,T14,0.85)</f>
        <v>0.85</v>
      </c>
      <c r="V14" s="555">
        <f>IF(T14&lt;$V$10,T14,$V$10)</f>
        <v>0</v>
      </c>
      <c r="X14" s="560" t="s">
        <v>175</v>
      </c>
      <c r="Z14" s="625">
        <f>'[18]SATIM input'!C60</f>
        <v>27.743824076135091</v>
      </c>
      <c r="AB14" s="560" t="s">
        <v>172</v>
      </c>
      <c r="AC14" s="565">
        <f>'[18]SATIM input'!C23</f>
        <v>0.99830343032443969</v>
      </c>
      <c r="AD14" s="643">
        <f>MAX(AC14,90%)</f>
        <v>0.99830343032443969</v>
      </c>
      <c r="AF14" s="642">
        <f>'[18]SATIM input'!D23</f>
        <v>1.21</v>
      </c>
      <c r="AG14" s="642">
        <f>'[18]SATIM input'!E23</f>
        <v>1.2378962536023055</v>
      </c>
      <c r="AH14" s="642">
        <f>'[18]SATIM input'!F23</f>
        <v>1.13328530259366</v>
      </c>
      <c r="AI14" s="642">
        <f>'[18]SATIM input'!G23</f>
        <v>0.96299999999999997</v>
      </c>
      <c r="AJ14" s="642">
        <f>'[18]SATIM input'!H23</f>
        <v>0.83199999999999996</v>
      </c>
      <c r="AK14" s="642">
        <f>'[18]SATIM input'!I23</f>
        <v>1.1180000000000001</v>
      </c>
      <c r="AL14" s="642">
        <f>'[18]SATIM input'!J23</f>
        <v>1.0860000000000001</v>
      </c>
      <c r="AM14" s="642">
        <f>'[18]SATIM input'!K23</f>
        <v>1.0860000000000001</v>
      </c>
      <c r="AN14" s="642">
        <f>'[18]SATIM input'!L23</f>
        <v>0</v>
      </c>
    </row>
    <row r="15" spans="1:40" ht="15" x14ac:dyDescent="0.25">
      <c r="B15" s="560" t="str">
        <f>'[19]New I&amp;S model detail'!B83</f>
        <v>DRI-EAF</v>
      </c>
      <c r="C15" s="647">
        <f>'[19]New I&amp;S model detail'!S83</f>
        <v>31.247950199170173</v>
      </c>
      <c r="D15" s="567"/>
      <c r="E15" s="646">
        <f>INDEX('[19]New I&amp;S model detail'!$O$90:$R$94,MATCH($B15,'[19]New I&amp;S model detail'!$S$90:$S$94,0),MATCH(E$12,'[19]New I&amp;S model detail'!$O$80:$R$80,0))</f>
        <v>0.66708375644280071</v>
      </c>
      <c r="F15" s="646">
        <f>INDEX('[19]New I&amp;S model detail'!$O$90:$R$94,MATCH($B15,'[19]New I&amp;S model detail'!$S$90:$S$94,0),MATCH(F$12,'[19]New I&amp;S model detail'!$O$80:$R$80,0))</f>
        <v>1.2128795571687277E-2</v>
      </c>
      <c r="G15" s="646">
        <f>INDEX('[19]New I&amp;S model detail'!$O$90:$R$94,MATCH($B15,'[19]New I&amp;S model detail'!$S$90:$S$94,0),MATCH(G$12,'[19]New I&amp;S model detail'!$O$80:$R$80,0))</f>
        <v>0.32078744798551195</v>
      </c>
      <c r="H15" s="646">
        <f>INDEX('[19]New I&amp;S model detail'!$O$90:$R$94,MATCH($B15,'[19]New I&amp;S model detail'!$S$90:$S$94,0),MATCH(H$12,'[19]New I&amp;S model detail'!$O$80:$R$80,0))</f>
        <v>0</v>
      </c>
      <c r="I15" s="625"/>
      <c r="J15" s="645">
        <f>INDEX('[19]New I&amp;S model detail'!$C$81:$C$85,MATCH(B15,'[19]New I&amp;S model detail'!$B$81:$B$85,0))</f>
        <v>1.44</v>
      </c>
      <c r="K15" s="644">
        <f>INDEX('[19]New I&amp;S model detail'!$D$81:$D$85,MATCH(B15,'[19]New I&amp;S model detail'!$B$81:$B$85,0))</f>
        <v>0.95</v>
      </c>
      <c r="L15" s="113" t="s">
        <v>175</v>
      </c>
      <c r="O15" s="113" t="s">
        <v>175</v>
      </c>
      <c r="P15" s="572" t="s">
        <v>176</v>
      </c>
      <c r="R15" s="625">
        <f>K15</f>
        <v>0.95</v>
      </c>
      <c r="S15" s="632">
        <f>R15</f>
        <v>0.95</v>
      </c>
      <c r="T15" s="625">
        <f>K15/J15</f>
        <v>0.65972222222222221</v>
      </c>
      <c r="U15" s="637">
        <f>IF(T15&gt;0.85,T15,0.85)</f>
        <v>0.85</v>
      </c>
      <c r="V15" s="555">
        <f>IF(T15&lt;$V$10,T15,$V$10)</f>
        <v>0</v>
      </c>
      <c r="X15" s="560" t="s">
        <v>540</v>
      </c>
      <c r="Z15" s="625">
        <f>'[18]SATIM input'!C61</f>
        <v>27.743824076135091</v>
      </c>
      <c r="AB15" s="560" t="s">
        <v>175</v>
      </c>
      <c r="AC15" s="565">
        <f>'[18]SATIM input'!C24</f>
        <v>0.67493195645212933</v>
      </c>
      <c r="AD15" s="643">
        <f>MAX(AC15,90%)</f>
        <v>0.9</v>
      </c>
      <c r="AF15" s="642">
        <f>'[18]SATIM input'!D24</f>
        <v>0.95</v>
      </c>
      <c r="AG15" s="642">
        <f>'[18]SATIM input'!E24</f>
        <v>0.97190201729106618</v>
      </c>
      <c r="AH15" s="642">
        <f>'[18]SATIM input'!F24</f>
        <v>0.88976945244956762</v>
      </c>
      <c r="AI15" s="642">
        <f>'[18]SATIM input'!G24</f>
        <v>0.77481081081081082</v>
      </c>
      <c r="AJ15" s="642">
        <f>'[18]SATIM input'!H24</f>
        <v>0.77481081081081082</v>
      </c>
      <c r="AK15" s="642">
        <f>'[18]SATIM input'!I24</f>
        <v>0.75891891891891894</v>
      </c>
      <c r="AL15" s="642">
        <f>'[18]SATIM input'!J24</f>
        <v>0.80270270270270283</v>
      </c>
      <c r="AM15" s="642">
        <f>'[18]SATIM input'!K24</f>
        <v>0.80270270270270283</v>
      </c>
      <c r="AN15" s="642">
        <f>'[18]SATIM input'!L24</f>
        <v>0.76492845786963448</v>
      </c>
    </row>
    <row r="16" spans="1:40" ht="15" x14ac:dyDescent="0.25">
      <c r="B16" s="560" t="str">
        <f>'[19]New I&amp;S model detail'!B84</f>
        <v>Corex-Conarc</v>
      </c>
      <c r="C16" s="647">
        <f>'[19]New I&amp;S model detail'!S84</f>
        <v>21.51458852713521</v>
      </c>
      <c r="D16" s="567"/>
      <c r="E16" s="646">
        <f>INDEX('[19]New I&amp;S model detail'!$O$90:$R$94,MATCH($B16,'[19]New I&amp;S model detail'!$S$90:$S$94,0),MATCH(E$12,'[19]New I&amp;S model detail'!$O$80:$R$80,0))</f>
        <v>0.53173222372211926</v>
      </c>
      <c r="F16" s="646">
        <f>INDEX('[19]New I&amp;S model detail'!$O$90:$R$94,MATCH($B16,'[19]New I&amp;S model detail'!$S$90:$S$94,0),MATCH(F$12,'[19]New I&amp;S model detail'!$O$80:$R$80,0))</f>
        <v>0</v>
      </c>
      <c r="G16" s="646">
        <f>INDEX('[19]New I&amp;S model detail'!$O$90:$R$94,MATCH($B16,'[19]New I&amp;S model detail'!$S$90:$S$94,0),MATCH(G$12,'[19]New I&amp;S model detail'!$O$80:$R$80,0))</f>
        <v>0.26282578074888002</v>
      </c>
      <c r="H16" s="646">
        <f>INDEX('[19]New I&amp;S model detail'!$O$90:$R$94,MATCH($B16,'[19]New I&amp;S model detail'!$S$90:$S$94,0),MATCH(H$12,'[19]New I&amp;S model detail'!$O$80:$R$80,0))</f>
        <v>0.20544199552900064</v>
      </c>
      <c r="I16" s="625"/>
      <c r="J16" s="645">
        <f>INDEX('[19]New I&amp;S model detail'!$C$81:$C$85,MATCH(B16,'[19]New I&amp;S model detail'!$B$81:$B$85,0))</f>
        <v>1.2400000000000002</v>
      </c>
      <c r="K16" s="644">
        <f>INDEX('[19]New I&amp;S model detail'!$D$81:$D$85,MATCH(B16,'[19]New I&amp;S model detail'!$B$81:$B$85,0))</f>
        <v>1.21</v>
      </c>
      <c r="L16" s="113" t="s">
        <v>172</v>
      </c>
      <c r="O16" s="113" t="s">
        <v>179</v>
      </c>
      <c r="P16" s="572" t="s">
        <v>10</v>
      </c>
      <c r="R16" s="625">
        <f>K16</f>
        <v>1.21</v>
      </c>
      <c r="S16" s="632">
        <f>R16</f>
        <v>1.21</v>
      </c>
      <c r="T16" s="625">
        <f>K16/J16</f>
        <v>0.97580645161290303</v>
      </c>
      <c r="U16" s="648">
        <f>IF(T16&gt;0.85,T16,0.85)</f>
        <v>0.97580645161290303</v>
      </c>
      <c r="V16" s="555">
        <f>IF(T16&lt;$V$10,T16,$V$10)</f>
        <v>0</v>
      </c>
      <c r="X16" s="560" t="s">
        <v>541</v>
      </c>
      <c r="Z16" s="625">
        <f>'[18]SATIM input'!C62</f>
        <v>0</v>
      </c>
      <c r="AB16" s="560" t="s">
        <v>179</v>
      </c>
      <c r="AC16" s="565">
        <f>'[18]SATIM input'!C25</f>
        <v>0.63429394812680118</v>
      </c>
      <c r="AD16" s="643">
        <f>MAX(AC16,90%)</f>
        <v>0.9</v>
      </c>
      <c r="AF16" s="642">
        <f>'[18]SATIM input'!D25</f>
        <v>0.62</v>
      </c>
      <c r="AG16" s="642">
        <f>'[18]SATIM input'!E25</f>
        <v>0.63429394812680118</v>
      </c>
      <c r="AH16" s="642">
        <f>'[18]SATIM input'!F25</f>
        <v>0.5806916426512968</v>
      </c>
      <c r="AI16" s="642">
        <f>'[18]SATIM input'!G25</f>
        <v>0.1360000000000007</v>
      </c>
      <c r="AJ16" s="642">
        <f>'[18]SATIM input'!H25</f>
        <v>0</v>
      </c>
      <c r="AK16" s="642">
        <f>'[18]SATIM input'!I25</f>
        <v>0</v>
      </c>
      <c r="AL16" s="642">
        <f>'[18]SATIM input'!J25</f>
        <v>0</v>
      </c>
      <c r="AM16" s="642">
        <f>'[18]SATIM input'!K25</f>
        <v>0</v>
      </c>
      <c r="AN16" s="642">
        <f>'[18]SATIM input'!L25</f>
        <v>0</v>
      </c>
    </row>
    <row r="17" spans="1:67" ht="15" x14ac:dyDescent="0.25">
      <c r="B17" s="560" t="str">
        <f>'[19]New I&amp;S model detail'!B85</f>
        <v>Other-EAF</v>
      </c>
      <c r="C17" s="647">
        <f>'[19]New I&amp;S model detail'!S85</f>
        <v>37.074375174722789</v>
      </c>
      <c r="D17" s="567"/>
      <c r="E17" s="646">
        <f>INDEX('[19]New I&amp;S model detail'!$O$90:$R$94,MATCH($B17,'[19]New I&amp;S model detail'!$S$90:$S$94,0),MATCH(E$12,'[19]New I&amp;S model detail'!$O$80:$R$80,0))</f>
        <v>0.55590957104118222</v>
      </c>
      <c r="F17" s="646">
        <f>INDEX('[19]New I&amp;S model detail'!$O$90:$R$94,MATCH($B17,'[19]New I&amp;S model detail'!$S$90:$S$94,0),MATCH(F$12,'[19]New I&amp;S model detail'!$O$80:$R$80,0))</f>
        <v>3.0883865057843445E-2</v>
      </c>
      <c r="G17" s="646">
        <f>INDEX('[19]New I&amp;S model detail'!$O$90:$R$94,MATCH($B17,'[19]New I&amp;S model detail'!$S$90:$S$94,0),MATCH(G$12,'[19]New I&amp;S model detail'!$O$80:$R$80,0))</f>
        <v>0.41320656390097438</v>
      </c>
      <c r="H17" s="646">
        <f>INDEX('[19]New I&amp;S model detail'!$O$90:$R$94,MATCH($B17,'[19]New I&amp;S model detail'!$S$90:$S$94,0),MATCH(H$12,'[19]New I&amp;S model detail'!$O$80:$R$80,0))</f>
        <v>0</v>
      </c>
      <c r="I17" s="625"/>
      <c r="J17" s="645">
        <f>INDEX('[19]New I&amp;S model detail'!$C$81:$C$85,MATCH(B17,'[19]New I&amp;S model detail'!$B$81:$B$85,0))</f>
        <v>1</v>
      </c>
      <c r="K17" s="644">
        <f>INDEX('[19]New I&amp;S model detail'!$D$81:$D$85,MATCH(B17,'[19]New I&amp;S model detail'!$B$81:$B$85,0))</f>
        <v>0.62</v>
      </c>
      <c r="L17" s="113" t="s">
        <v>179</v>
      </c>
      <c r="O17" s="113" t="s">
        <v>181</v>
      </c>
      <c r="P17" s="572" t="s">
        <v>8</v>
      </c>
      <c r="R17" s="625">
        <f>K17</f>
        <v>0.62</v>
      </c>
      <c r="S17" s="632">
        <f>R17</f>
        <v>0.62</v>
      </c>
      <c r="T17" s="625">
        <f>K17/J17</f>
        <v>0.62</v>
      </c>
      <c r="U17" s="637">
        <f>IF(T17&gt;0.85,T17,0.85)</f>
        <v>0.85</v>
      </c>
      <c r="V17" s="555">
        <f>IF(T17&lt;$V$10,T17,$V$10)</f>
        <v>0</v>
      </c>
      <c r="X17" s="560" t="s">
        <v>179</v>
      </c>
      <c r="Z17" s="625">
        <f>'[18]SATIM input'!C63</f>
        <v>44.655000000000001</v>
      </c>
      <c r="AB17" s="560" t="s">
        <v>181</v>
      </c>
      <c r="AC17" s="565">
        <f>'[18]SATIM input'!C26</f>
        <v>1</v>
      </c>
      <c r="AD17" s="643">
        <f>MAX(AC17,90%)</f>
        <v>1</v>
      </c>
      <c r="AF17" s="642">
        <f>'[18]SATIM input'!D26</f>
        <v>0.86</v>
      </c>
      <c r="AG17" s="642">
        <f>'[18]SATIM input'!E26</f>
        <v>0.87982708933717579</v>
      </c>
      <c r="AH17" s="642">
        <f>'[18]SATIM input'!F26</f>
        <v>0.8054755043227666</v>
      </c>
      <c r="AI17" s="642">
        <f>'[18]SATIM input'!G26</f>
        <v>1.3620000000000003</v>
      </c>
      <c r="AJ17" s="642">
        <f>'[18]SATIM input'!H26</f>
        <v>1.3200000000000003</v>
      </c>
      <c r="AK17" s="642">
        <f>'[18]SATIM input'!I26</f>
        <v>1.3200000000000003</v>
      </c>
      <c r="AL17" s="642">
        <f>'[18]SATIM input'!J26</f>
        <v>1.2079999999999993</v>
      </c>
      <c r="AM17" s="642">
        <f>'[18]SATIM input'!K26</f>
        <v>1.2079999999999993</v>
      </c>
      <c r="AN17" s="642">
        <f>'[18]SATIM input'!L26</f>
        <v>1.2079999999999993</v>
      </c>
    </row>
    <row r="18" spans="1:67" x14ac:dyDescent="0.2">
      <c r="B18" s="558"/>
      <c r="C18" s="557"/>
      <c r="D18" s="557"/>
      <c r="E18" s="557"/>
      <c r="F18" s="557"/>
      <c r="G18" s="557"/>
      <c r="H18" s="557"/>
      <c r="I18" s="557"/>
      <c r="J18" s="557">
        <f>SUM(J13:J17)</f>
        <v>10.3</v>
      </c>
      <c r="K18" s="641">
        <f>SUM(K13:K17)</f>
        <v>6.94</v>
      </c>
      <c r="S18" s="631">
        <f>SUM(S13:S17)</f>
        <v>6.94</v>
      </c>
      <c r="X18" s="560" t="s">
        <v>181</v>
      </c>
      <c r="Z18" s="625">
        <f>'[18]SATIM input'!C64</f>
        <v>5.4887322803632257</v>
      </c>
      <c r="AF18" s="640">
        <f t="shared" ref="AF18:AN18" si="0">SUM(AF13:AF17)</f>
        <v>6.94</v>
      </c>
      <c r="AG18" s="640">
        <f t="shared" si="0"/>
        <v>7.1000000000000005</v>
      </c>
      <c r="AH18" s="640">
        <f t="shared" si="0"/>
        <v>6.5</v>
      </c>
      <c r="AI18" s="640">
        <f t="shared" si="0"/>
        <v>6.4000000000000012</v>
      </c>
      <c r="AJ18" s="640">
        <f t="shared" si="0"/>
        <v>6.0910000000000002</v>
      </c>
      <c r="AK18" s="640">
        <f t="shared" si="0"/>
        <v>6.23</v>
      </c>
      <c r="AL18" s="640">
        <f t="shared" si="0"/>
        <v>6.3</v>
      </c>
      <c r="AM18" s="640">
        <f t="shared" si="0"/>
        <v>6.1267974837582679</v>
      </c>
      <c r="AN18" s="640">
        <f t="shared" si="0"/>
        <v>5.0030232389251985</v>
      </c>
    </row>
    <row r="19" spans="1:67" ht="15" x14ac:dyDescent="0.25">
      <c r="N19" s="639">
        <f>K14/K18</f>
        <v>0.1239193083573487</v>
      </c>
      <c r="O19" s="113" t="s">
        <v>528</v>
      </c>
      <c r="X19" s="560" t="s">
        <v>542</v>
      </c>
      <c r="Z19" s="625">
        <f>'[18]SATIM input'!C65</f>
        <v>5.4887322803632257</v>
      </c>
    </row>
    <row r="20" spans="1:67" x14ac:dyDescent="0.2">
      <c r="R20" s="572" t="s">
        <v>1494</v>
      </c>
      <c r="S20" s="555">
        <v>6.4</v>
      </c>
      <c r="T20" s="572" t="s">
        <v>1493</v>
      </c>
      <c r="X20" s="560"/>
      <c r="AB20" s="559"/>
    </row>
    <row r="21" spans="1:67" ht="15" x14ac:dyDescent="0.25">
      <c r="E21" s="113" t="s">
        <v>40</v>
      </c>
      <c r="F21" s="113" t="s">
        <v>592</v>
      </c>
      <c r="G21" s="113" t="s">
        <v>39</v>
      </c>
      <c r="H21" s="113" t="s">
        <v>43</v>
      </c>
      <c r="X21" s="563" t="s">
        <v>908</v>
      </c>
      <c r="AB21" s="559"/>
      <c r="AF21" s="572" t="s">
        <v>1492</v>
      </c>
    </row>
    <row r="22" spans="1:67" x14ac:dyDescent="0.2">
      <c r="R22" s="572"/>
      <c r="S22" s="625"/>
      <c r="X22" s="563"/>
      <c r="Z22" s="572" t="s">
        <v>593</v>
      </c>
      <c r="AA22" s="572" t="s">
        <v>594</v>
      </c>
      <c r="AB22" s="559"/>
    </row>
    <row r="23" spans="1:67" ht="15" x14ac:dyDescent="0.25">
      <c r="L23" s="567" t="s">
        <v>1491</v>
      </c>
      <c r="O23" s="638" t="s">
        <v>1490</v>
      </c>
      <c r="R23" s="567" t="s">
        <v>1489</v>
      </c>
      <c r="S23" s="625"/>
      <c r="X23" s="560" t="s">
        <v>170</v>
      </c>
      <c r="Y23" s="113" t="s">
        <v>40</v>
      </c>
      <c r="Z23" s="635">
        <f>'[18]SATIM input'!D82</f>
        <v>0.26361053874824431</v>
      </c>
      <c r="AA23" s="635">
        <f>'[18]SATIM input'!E82</f>
        <v>0.26624664413572674</v>
      </c>
      <c r="AB23" s="559"/>
      <c r="AD23" s="555" t="str">
        <f t="shared" ref="AD23:AD47" si="1">X23&amp;Y23</f>
        <v>IISBFBOF-EIISCOA</v>
      </c>
      <c r="AE23" s="560" t="s">
        <v>170</v>
      </c>
      <c r="AF23" s="555">
        <f>'[18]SATIM input'!D12</f>
        <v>4.9000000000000004</v>
      </c>
      <c r="AG23" s="555">
        <f>'[18]SATIM input'!E12</f>
        <v>4.9000000000000004</v>
      </c>
      <c r="AH23" s="555">
        <f>'[18]SATIM input'!F12</f>
        <v>4.9000000000000004</v>
      </c>
      <c r="AI23" s="555">
        <f>'[18]SATIM input'!G12</f>
        <v>4.9000000000000004</v>
      </c>
      <c r="AJ23" s="555">
        <f>'[18]SATIM input'!H12</f>
        <v>4.9000000000000004</v>
      </c>
      <c r="AK23" s="555">
        <f>'[18]SATIM input'!I12</f>
        <v>4.9000000000000004</v>
      </c>
      <c r="AL23" s="555">
        <f>'[18]SATIM input'!J12</f>
        <v>4.9000000000000004</v>
      </c>
      <c r="AM23" s="555">
        <f>'[18]SATIM input'!K12</f>
        <v>4.9000000000000004</v>
      </c>
      <c r="AN23" s="555">
        <f>'[18]SATIM input'!L12</f>
        <v>4.9000000000000004</v>
      </c>
      <c r="AO23" s="555">
        <f>'[18]SATIM input'!M12</f>
        <v>4.9000000000000004</v>
      </c>
      <c r="AP23" s="555">
        <f>'[18]SATIM input'!N12</f>
        <v>4.9000000000000004</v>
      </c>
      <c r="AQ23" s="555">
        <f>'[18]SATIM input'!O12</f>
        <v>4.9000000000000004</v>
      </c>
      <c r="AR23" s="555">
        <f>'[18]SATIM input'!P12</f>
        <v>4.9000000000000004</v>
      </c>
      <c r="AS23" s="555">
        <f>'[18]SATIM input'!Q12</f>
        <v>4.9000000000000004</v>
      </c>
      <c r="AT23" s="555">
        <f>'[18]SATIM input'!R12</f>
        <v>4.9000000000000004</v>
      </c>
      <c r="AU23" s="555">
        <f>'[18]SATIM input'!S12</f>
        <v>4.9000000000000004</v>
      </c>
      <c r="AV23" s="555">
        <f>'[18]SATIM input'!T12</f>
        <v>4.9000000000000004</v>
      </c>
      <c r="AW23" s="555">
        <f>'[18]SATIM input'!U12</f>
        <v>4.9000000000000004</v>
      </c>
      <c r="AX23" s="555">
        <f>'[18]SATIM input'!V12</f>
        <v>4.9000000000000004</v>
      </c>
      <c r="AY23" s="555">
        <f>'[18]SATIM input'!W12</f>
        <v>4.9000000000000004</v>
      </c>
      <c r="AZ23" s="555">
        <f>'[18]SATIM input'!X12</f>
        <v>4.9000000000000004</v>
      </c>
      <c r="BA23" s="555">
        <f>'[18]SATIM input'!Y12</f>
        <v>4.9000000000000004</v>
      </c>
      <c r="BB23" s="555">
        <f>'[18]SATIM input'!Z12</f>
        <v>4.9000000000000004</v>
      </c>
      <c r="BC23" s="555">
        <f>'[18]SATIM input'!AA12</f>
        <v>4.9000000000000004</v>
      </c>
      <c r="BD23" s="555">
        <f>'[18]SATIM input'!AB12</f>
        <v>4.9000000000000004</v>
      </c>
      <c r="BE23" s="555">
        <f>'[18]SATIM input'!AC12</f>
        <v>0</v>
      </c>
      <c r="BF23" s="555">
        <f>'[18]SATIM input'!AD12</f>
        <v>0</v>
      </c>
      <c r="BG23" s="555">
        <f>'[18]SATIM input'!AE12</f>
        <v>0</v>
      </c>
      <c r="BH23" s="555">
        <f>'[18]SATIM input'!AF12</f>
        <v>0</v>
      </c>
      <c r="BI23" s="555">
        <f>'[18]SATIM input'!AG12</f>
        <v>0</v>
      </c>
      <c r="BJ23" s="555">
        <f>'[18]SATIM input'!AH12</f>
        <v>0</v>
      </c>
      <c r="BK23" s="555">
        <f>'[18]SATIM input'!AI12</f>
        <v>0</v>
      </c>
      <c r="BL23" s="555">
        <f>'[18]SATIM input'!AJ12</f>
        <v>0</v>
      </c>
      <c r="BM23" s="555">
        <f>'[18]SATIM input'!AK12</f>
        <v>0</v>
      </c>
      <c r="BN23" s="555">
        <f>'[18]SATIM input'!AL12</f>
        <v>0</v>
      </c>
      <c r="BO23" s="555">
        <f>'[18]SATIM input'!AM12</f>
        <v>0</v>
      </c>
    </row>
    <row r="24" spans="1:67" ht="15" x14ac:dyDescent="0.25">
      <c r="A24" s="567" t="s">
        <v>1488</v>
      </c>
      <c r="L24" s="572" t="s">
        <v>1487</v>
      </c>
      <c r="M24" s="572" t="s">
        <v>1486</v>
      </c>
      <c r="O24" s="637"/>
      <c r="S24" s="625"/>
      <c r="X24" s="560" t="s">
        <v>175</v>
      </c>
      <c r="Y24" s="113" t="s">
        <v>40</v>
      </c>
      <c r="Z24" s="635">
        <f>'[18]SATIM input'!D83</f>
        <v>0.74238447012267461</v>
      </c>
      <c r="AA24" s="635">
        <f>'[18]SATIM input'!E83</f>
        <v>0.74980831482390131</v>
      </c>
      <c r="AB24" s="559"/>
      <c r="AD24" s="555" t="str">
        <f t="shared" si="1"/>
        <v>IISDRIEAF-EIISCOA</v>
      </c>
      <c r="AE24" s="560" t="s">
        <v>172</v>
      </c>
      <c r="AF24" s="555">
        <f>'[18]SATIM input'!D13</f>
        <v>1.2400000000000002</v>
      </c>
      <c r="AG24" s="555">
        <f>'[18]SATIM input'!E13</f>
        <v>1.2400000000000002</v>
      </c>
      <c r="AH24" s="555">
        <f>'[18]SATIM input'!F13</f>
        <v>1.2400000000000002</v>
      </c>
      <c r="AI24" s="555">
        <f>'[18]SATIM input'!G13</f>
        <v>1.2400000000000002</v>
      </c>
      <c r="AJ24" s="555">
        <f>'[18]SATIM input'!H13</f>
        <v>1.2400000000000002</v>
      </c>
      <c r="AK24" s="555">
        <f>'[18]SATIM input'!I13</f>
        <v>1.2400000000000002</v>
      </c>
      <c r="AL24" s="555">
        <f>'[18]SATIM input'!J13</f>
        <v>1.2400000000000002</v>
      </c>
      <c r="AM24" s="555">
        <f>'[18]SATIM input'!K13</f>
        <v>1.2400000000000002</v>
      </c>
      <c r="AN24" s="555">
        <f>'[18]SATIM input'!L13</f>
        <v>1.2400000000000002</v>
      </c>
      <c r="AO24" s="555">
        <f>'[18]SATIM input'!M13</f>
        <v>1.2400000000000002</v>
      </c>
      <c r="AP24" s="555">
        <f>'[18]SATIM input'!N13</f>
        <v>1.2400000000000002</v>
      </c>
      <c r="AQ24" s="555">
        <f>'[18]SATIM input'!O13</f>
        <v>1.2400000000000002</v>
      </c>
      <c r="AR24" s="555">
        <f>'[18]SATIM input'!P13</f>
        <v>1.2400000000000002</v>
      </c>
      <c r="AS24" s="555">
        <f>'[18]SATIM input'!Q13</f>
        <v>1.2400000000000002</v>
      </c>
      <c r="AT24" s="555">
        <f>'[18]SATIM input'!R13</f>
        <v>1.2400000000000002</v>
      </c>
      <c r="AU24" s="555">
        <f>'[18]SATIM input'!S13</f>
        <v>1.2400000000000002</v>
      </c>
      <c r="AV24" s="555">
        <f>'[18]SATIM input'!T13</f>
        <v>1.2400000000000002</v>
      </c>
      <c r="AW24" s="555">
        <f>'[18]SATIM input'!U13</f>
        <v>1.2400000000000002</v>
      </c>
      <c r="AX24" s="555">
        <f>'[18]SATIM input'!V13</f>
        <v>1.2400000000000002</v>
      </c>
      <c r="AY24" s="555">
        <f>'[18]SATIM input'!W13</f>
        <v>1.2400000000000002</v>
      </c>
      <c r="AZ24" s="555">
        <f>'[18]SATIM input'!X13</f>
        <v>1.2400000000000002</v>
      </c>
      <c r="BA24" s="555">
        <f>'[18]SATIM input'!Y13</f>
        <v>1.2400000000000002</v>
      </c>
      <c r="BB24" s="555">
        <f>'[18]SATIM input'!Z13</f>
        <v>1.2400000000000002</v>
      </c>
      <c r="BC24" s="555">
        <f>'[18]SATIM input'!AA13</f>
        <v>1.2400000000000002</v>
      </c>
      <c r="BD24" s="555">
        <f>'[18]SATIM input'!AB13</f>
        <v>1.2400000000000002</v>
      </c>
      <c r="BE24" s="555">
        <f>'[18]SATIM input'!AC13</f>
        <v>1.2400000000000002</v>
      </c>
      <c r="BF24" s="555">
        <f>'[18]SATIM input'!AD13</f>
        <v>1.2400000000000002</v>
      </c>
      <c r="BG24" s="555">
        <f>'[18]SATIM input'!AE13</f>
        <v>1.2400000000000002</v>
      </c>
      <c r="BH24" s="555">
        <f>'[18]SATIM input'!AF13</f>
        <v>1.2400000000000002</v>
      </c>
      <c r="BI24" s="555">
        <f>'[18]SATIM input'!AG13</f>
        <v>1.2400000000000002</v>
      </c>
      <c r="BJ24" s="555">
        <f>'[18]SATIM input'!AH13</f>
        <v>1.2400000000000002</v>
      </c>
      <c r="BK24" s="555">
        <f>'[18]SATIM input'!AI13</f>
        <v>1.2400000000000002</v>
      </c>
      <c r="BL24" s="555">
        <f>'[18]SATIM input'!AJ13</f>
        <v>1.2400000000000002</v>
      </c>
      <c r="BM24" s="555">
        <f>'[18]SATIM input'!AK13</f>
        <v>1.2400000000000002</v>
      </c>
      <c r="BN24" s="555">
        <f>'[18]SATIM input'!AL13</f>
        <v>1.2400000000000002</v>
      </c>
      <c r="BO24" s="555">
        <f>'[18]SATIM input'!AM13</f>
        <v>0</v>
      </c>
    </row>
    <row r="25" spans="1:67" ht="15" x14ac:dyDescent="0.25">
      <c r="A25" s="570"/>
      <c r="B25" s="636" t="s">
        <v>170</v>
      </c>
      <c r="C25" s="569"/>
      <c r="D25" s="636" t="s">
        <v>43</v>
      </c>
      <c r="E25" s="636" t="s">
        <v>1392</v>
      </c>
      <c r="F25" s="636" t="s">
        <v>707</v>
      </c>
      <c r="G25" s="636" t="s">
        <v>1101</v>
      </c>
      <c r="H25" s="636" t="s">
        <v>593</v>
      </c>
      <c r="I25" s="636">
        <v>3</v>
      </c>
      <c r="J25" s="636">
        <v>0.35</v>
      </c>
      <c r="K25" s="568"/>
      <c r="L25" s="631">
        <f t="shared" ref="L25:L31" si="2">IF(OR(H25="LO",H25="FX"),INDEX($E$13:$H$17,MATCH(B25,$L$13:$L$17,0),MATCH(D25,$E$21:$H$21,0)),L24)</f>
        <v>0.42194897855775038</v>
      </c>
      <c r="M25" s="555" t="str">
        <f t="shared" ref="M25:M54" si="3">IF(RIGHT(B25,1)="N",J25,"")</f>
        <v/>
      </c>
      <c r="O25" s="632">
        <f t="shared" ref="O25:O56" si="4">SUM(L25:N25)</f>
        <v>0.42194897855775038</v>
      </c>
      <c r="R25" s="631" cm="1">
        <f t="array" ref="R25">IF(H25="LO",INDEX($Z$23:$Z$47,MATCH(AC25,$AD$23:$AD$47,0),0),INDEX($AA$23:$AA$47,MATCH(AC25,$AD$23:$AD$47,0),0))</f>
        <v>0.54033090194192068</v>
      </c>
      <c r="S25" s="625"/>
      <c r="X25" s="560" t="s">
        <v>181</v>
      </c>
      <c r="Y25" s="113" t="s">
        <v>40</v>
      </c>
      <c r="Z25" s="635">
        <f>'[18]SATIM input'!D84</f>
        <v>0</v>
      </c>
      <c r="AA25" s="635">
        <f>'[18]SATIM input'!E84</f>
        <v>0</v>
      </c>
      <c r="AB25" s="559"/>
      <c r="AC25" s="555" t="str">
        <f t="shared" ref="AC25:AC56" si="5">B25&amp;D25</f>
        <v>IISBFBOF-EIISCKE</v>
      </c>
      <c r="AD25" s="555" t="str">
        <f t="shared" si="1"/>
        <v>IISSCREAF-EIISCOA</v>
      </c>
      <c r="AE25" s="560" t="s">
        <v>175</v>
      </c>
      <c r="AF25" s="555">
        <f>'[18]SATIM input'!D14</f>
        <v>1.44</v>
      </c>
      <c r="AG25" s="555">
        <f>'[18]SATIM input'!E14</f>
        <v>1.44</v>
      </c>
      <c r="AH25" s="555">
        <f>'[18]SATIM input'!F14</f>
        <v>1.44</v>
      </c>
      <c r="AI25" s="555">
        <f>'[18]SATIM input'!G14</f>
        <v>1.44</v>
      </c>
      <c r="AJ25" s="555">
        <f>'[18]SATIM input'!H14</f>
        <v>1.44</v>
      </c>
      <c r="AK25" s="555">
        <f>'[18]SATIM input'!I14</f>
        <v>1.44</v>
      </c>
      <c r="AL25" s="555">
        <f>'[18]SATIM input'!J14</f>
        <v>1.44</v>
      </c>
      <c r="AM25" s="555">
        <f>'[18]SATIM input'!K14</f>
        <v>1.44</v>
      </c>
      <c r="AN25" s="555">
        <f>'[18]SATIM input'!L14</f>
        <v>1.44</v>
      </c>
      <c r="AO25" s="555">
        <f>'[18]SATIM input'!M14</f>
        <v>1.44</v>
      </c>
      <c r="AP25" s="555">
        <f>'[18]SATIM input'!N14</f>
        <v>1.44</v>
      </c>
      <c r="AQ25" s="555">
        <f>'[18]SATIM input'!O14</f>
        <v>1.44</v>
      </c>
      <c r="AR25" s="555">
        <f>'[18]SATIM input'!P14</f>
        <v>1.44</v>
      </c>
      <c r="AS25" s="555">
        <f>'[18]SATIM input'!Q14</f>
        <v>1.44</v>
      </c>
      <c r="AT25" s="555">
        <f>'[18]SATIM input'!R14</f>
        <v>1.44</v>
      </c>
      <c r="AU25" s="555">
        <f>'[18]SATIM input'!S14</f>
        <v>1.44</v>
      </c>
      <c r="AV25" s="555">
        <f>'[18]SATIM input'!T14</f>
        <v>1.44</v>
      </c>
      <c r="AW25" s="555">
        <f>'[18]SATIM input'!U14</f>
        <v>1.44</v>
      </c>
      <c r="AX25" s="555">
        <f>'[18]SATIM input'!V14</f>
        <v>1.44</v>
      </c>
      <c r="AY25" s="555">
        <f>'[18]SATIM input'!W14</f>
        <v>1.44</v>
      </c>
      <c r="AZ25" s="555">
        <f>'[18]SATIM input'!X14</f>
        <v>1.44</v>
      </c>
      <c r="BA25" s="555">
        <f>'[18]SATIM input'!Y14</f>
        <v>1.44</v>
      </c>
      <c r="BB25" s="555">
        <f>'[18]SATIM input'!Z14</f>
        <v>1.44</v>
      </c>
      <c r="BC25" s="555">
        <f>'[18]SATIM input'!AA14</f>
        <v>1.44</v>
      </c>
      <c r="BD25" s="555">
        <f>'[18]SATIM input'!AB14</f>
        <v>1.44</v>
      </c>
      <c r="BE25" s="555">
        <f>'[18]SATIM input'!AC14</f>
        <v>0</v>
      </c>
      <c r="BF25" s="555">
        <f>'[18]SATIM input'!AD14</f>
        <v>0</v>
      </c>
      <c r="BG25" s="555">
        <f>'[18]SATIM input'!AE14</f>
        <v>0</v>
      </c>
      <c r="BH25" s="555">
        <f>'[18]SATIM input'!AF14</f>
        <v>0</v>
      </c>
      <c r="BI25" s="555">
        <f>'[18]SATIM input'!AG14</f>
        <v>0</v>
      </c>
      <c r="BJ25" s="555">
        <f>'[18]SATIM input'!AH14</f>
        <v>0</v>
      </c>
      <c r="BK25" s="555">
        <f>'[18]SATIM input'!AI14</f>
        <v>0</v>
      </c>
      <c r="BL25" s="555">
        <f>'[18]SATIM input'!AJ14</f>
        <v>0</v>
      </c>
      <c r="BM25" s="555">
        <f>'[18]SATIM input'!AK14</f>
        <v>0</v>
      </c>
      <c r="BN25" s="555">
        <f>'[18]SATIM input'!AL14</f>
        <v>0</v>
      </c>
      <c r="BO25" s="555">
        <f>'[18]SATIM input'!AM14</f>
        <v>0</v>
      </c>
    </row>
    <row r="26" spans="1:67" ht="15" x14ac:dyDescent="0.25">
      <c r="A26" s="560"/>
      <c r="B26" s="113" t="s">
        <v>170</v>
      </c>
      <c r="D26" s="113" t="s">
        <v>43</v>
      </c>
      <c r="E26" s="113" t="s">
        <v>1392</v>
      </c>
      <c r="F26" s="113" t="s">
        <v>707</v>
      </c>
      <c r="G26" s="113" t="s">
        <v>1101</v>
      </c>
      <c r="H26" s="113" t="s">
        <v>594</v>
      </c>
      <c r="I26" s="113">
        <v>3</v>
      </c>
      <c r="J26" s="113">
        <v>0.35</v>
      </c>
      <c r="K26" s="559"/>
      <c r="L26" s="631">
        <f t="shared" si="2"/>
        <v>0.42194897855775038</v>
      </c>
      <c r="M26" s="555" t="str">
        <f t="shared" si="3"/>
        <v/>
      </c>
      <c r="O26" s="632">
        <f t="shared" si="4"/>
        <v>0.42194897855775038</v>
      </c>
      <c r="R26" s="631" cm="1">
        <f t="array" ref="R26">IF(H26="LO",INDEX($Z$23:$Z$47,MATCH(AC26,$AD$23:$AD$47,0),0),INDEX($AA$23:$AA$47,MATCH(AC26,$AD$23:$AD$47,0),0))</f>
        <v>0.54573421096133989</v>
      </c>
      <c r="S26" s="625"/>
      <c r="X26" s="560" t="s">
        <v>172</v>
      </c>
      <c r="Y26" s="113" t="s">
        <v>40</v>
      </c>
      <c r="Z26" s="635">
        <f>'[18]SATIM input'!D85</f>
        <v>0.77646494405992639</v>
      </c>
      <c r="AA26" s="635">
        <f>'[18]SATIM input'!E85</f>
        <v>0.78422959350052568</v>
      </c>
      <c r="AB26" s="559"/>
      <c r="AC26" s="555" t="str">
        <f t="shared" si="5"/>
        <v>IISBFBOF-EIISCKE</v>
      </c>
      <c r="AD26" s="555" t="str">
        <f t="shared" si="1"/>
        <v>IISCOREAF-EIISCOA</v>
      </c>
      <c r="AE26" s="560" t="s">
        <v>179</v>
      </c>
      <c r="AF26" s="555">
        <f>'[18]SATIM input'!D15</f>
        <v>1</v>
      </c>
      <c r="AG26" s="555">
        <f>'[18]SATIM input'!E15</f>
        <v>1</v>
      </c>
      <c r="AH26" s="555">
        <f>'[18]SATIM input'!F15</f>
        <v>1</v>
      </c>
      <c r="AI26" s="555">
        <f>'[18]SATIM input'!G15</f>
        <v>1</v>
      </c>
      <c r="AJ26" s="555">
        <f>'[18]SATIM input'!H15</f>
        <v>1</v>
      </c>
      <c r="AK26" s="555">
        <f>'[18]SATIM input'!I15</f>
        <v>1</v>
      </c>
      <c r="AL26" s="555">
        <f>'[18]SATIM input'!J15</f>
        <v>1</v>
      </c>
      <c r="AM26" s="555">
        <f>'[18]SATIM input'!K15</f>
        <v>1</v>
      </c>
      <c r="AN26" s="555">
        <f>'[18]SATIM input'!L15</f>
        <v>1</v>
      </c>
      <c r="AO26" s="555">
        <f>'[18]SATIM input'!M15</f>
        <v>1</v>
      </c>
      <c r="AP26" s="555">
        <f>'[18]SATIM input'!N15</f>
        <v>1</v>
      </c>
      <c r="AQ26" s="555">
        <f>'[18]SATIM input'!O15</f>
        <v>1</v>
      </c>
      <c r="AR26" s="555">
        <f>'[18]SATIM input'!P15</f>
        <v>1</v>
      </c>
      <c r="AS26" s="555">
        <f>'[18]SATIM input'!Q15</f>
        <v>1</v>
      </c>
      <c r="AT26" s="555">
        <f>'[18]SATIM input'!R15</f>
        <v>1</v>
      </c>
      <c r="AU26" s="555">
        <f>'[18]SATIM input'!S15</f>
        <v>1</v>
      </c>
      <c r="AV26" s="555">
        <f>'[18]SATIM input'!T15</f>
        <v>1</v>
      </c>
      <c r="AW26" s="555">
        <f>'[18]SATIM input'!U15</f>
        <v>1</v>
      </c>
      <c r="AX26" s="555">
        <f>'[18]SATIM input'!V15</f>
        <v>1</v>
      </c>
      <c r="AY26" s="555">
        <f>'[18]SATIM input'!W15</f>
        <v>1</v>
      </c>
      <c r="AZ26" s="555">
        <f>'[18]SATIM input'!X15</f>
        <v>1</v>
      </c>
      <c r="BA26" s="555">
        <f>'[18]SATIM input'!Y15</f>
        <v>1</v>
      </c>
      <c r="BB26" s="555">
        <f>'[18]SATIM input'!Z15</f>
        <v>1</v>
      </c>
      <c r="BC26" s="555">
        <f>'[18]SATIM input'!AA15</f>
        <v>1</v>
      </c>
      <c r="BD26" s="555">
        <f>'[18]SATIM input'!AB15</f>
        <v>1</v>
      </c>
      <c r="BE26" s="555">
        <f>'[18]SATIM input'!AC15</f>
        <v>0</v>
      </c>
      <c r="BF26" s="555">
        <f>'[18]SATIM input'!AD15</f>
        <v>0</v>
      </c>
      <c r="BG26" s="555">
        <f>'[18]SATIM input'!AE15</f>
        <v>0</v>
      </c>
      <c r="BH26" s="555">
        <f>'[18]SATIM input'!AF15</f>
        <v>0</v>
      </c>
      <c r="BI26" s="555">
        <f>'[18]SATIM input'!AG15</f>
        <v>0</v>
      </c>
      <c r="BJ26" s="555">
        <f>'[18]SATIM input'!AH15</f>
        <v>0</v>
      </c>
      <c r="BK26" s="555">
        <f>'[18]SATIM input'!AI15</f>
        <v>0</v>
      </c>
      <c r="BL26" s="555">
        <f>'[18]SATIM input'!AJ15</f>
        <v>0</v>
      </c>
      <c r="BM26" s="555">
        <f>'[18]SATIM input'!AK15</f>
        <v>0</v>
      </c>
      <c r="BN26" s="555">
        <f>'[18]SATIM input'!AL15</f>
        <v>0</v>
      </c>
      <c r="BO26" s="555">
        <f>'[18]SATIM input'!AM15</f>
        <v>0</v>
      </c>
    </row>
    <row r="27" spans="1:67" ht="15" x14ac:dyDescent="0.25">
      <c r="A27" s="560"/>
      <c r="B27" s="113" t="s">
        <v>170</v>
      </c>
      <c r="D27" s="113" t="s">
        <v>40</v>
      </c>
      <c r="E27" s="113" t="s">
        <v>1392</v>
      </c>
      <c r="F27" s="113" t="s">
        <v>707</v>
      </c>
      <c r="G27" s="113" t="s">
        <v>1101</v>
      </c>
      <c r="H27" s="113" t="s">
        <v>593</v>
      </c>
      <c r="I27" s="113">
        <v>3</v>
      </c>
      <c r="J27" s="113">
        <v>0.17</v>
      </c>
      <c r="K27" s="559"/>
      <c r="L27" s="631">
        <f t="shared" si="2"/>
        <v>0.20494664672805019</v>
      </c>
      <c r="M27" s="555" t="str">
        <f t="shared" si="3"/>
        <v/>
      </c>
      <c r="O27" s="632">
        <f t="shared" si="4"/>
        <v>0.20494664672805019</v>
      </c>
      <c r="R27" s="631" cm="1">
        <f t="array" ref="R27">IF(H27="LO",INDEX($Z$23:$Z$47,MATCH(AC27,$AD$23:$AD$47,0),0),INDEX($AA$23:$AA$47,MATCH(AC27,$AD$23:$AD$47,0),0))</f>
        <v>0.26361053874824431</v>
      </c>
      <c r="X27" s="560" t="s">
        <v>179</v>
      </c>
      <c r="Y27" s="113" t="s">
        <v>40</v>
      </c>
      <c r="Z27" s="635">
        <f>'[18]SATIM input'!D86</f>
        <v>0.46153846153846151</v>
      </c>
      <c r="AA27" s="635">
        <f>'[18]SATIM input'!E86</f>
        <v>0.46615384615384614</v>
      </c>
      <c r="AB27" s="559"/>
      <c r="AC27" s="555" t="str">
        <f t="shared" si="5"/>
        <v>IISBFBOF-EIISCOA</v>
      </c>
      <c r="AD27" s="555" t="str">
        <f t="shared" si="1"/>
        <v>IISOTHEAF-EIISCOA</v>
      </c>
      <c r="AE27" s="560" t="s">
        <v>181</v>
      </c>
      <c r="AF27" s="555">
        <f>'[18]SATIM input'!D16</f>
        <v>1.7200000000000002</v>
      </c>
      <c r="AG27" s="555">
        <f>'[18]SATIM input'!E16</f>
        <v>1.7200000000000002</v>
      </c>
      <c r="AH27" s="555">
        <f>'[18]SATIM input'!F16</f>
        <v>1.7200000000000002</v>
      </c>
      <c r="AI27" s="555">
        <f>'[18]SATIM input'!G16</f>
        <v>1.7200000000000002</v>
      </c>
      <c r="AJ27" s="555">
        <f>'[18]SATIM input'!H16</f>
        <v>1.3200000000000003</v>
      </c>
      <c r="AK27" s="555">
        <f>'[18]SATIM input'!I16</f>
        <v>1.3200000000000003</v>
      </c>
      <c r="AL27" s="555">
        <f>'[18]SATIM input'!J16</f>
        <v>1.3200000000000003</v>
      </c>
      <c r="AM27" s="555">
        <f>'[18]SATIM input'!K16</f>
        <v>1.3200000000000003</v>
      </c>
      <c r="AN27" s="555">
        <f>'[18]SATIM input'!L16</f>
        <v>1.3200000000000003</v>
      </c>
      <c r="AO27" s="555">
        <f>'[18]SATIM input'!M16</f>
        <v>1.3200000000000003</v>
      </c>
      <c r="AP27" s="555">
        <f>'[18]SATIM input'!N16</f>
        <v>1.3200000000000003</v>
      </c>
      <c r="AQ27" s="555">
        <f>'[18]SATIM input'!O16</f>
        <v>1.3200000000000003</v>
      </c>
      <c r="AR27" s="555">
        <f>'[18]SATIM input'!P16</f>
        <v>1.3200000000000003</v>
      </c>
      <c r="AS27" s="555">
        <f>'[18]SATIM input'!Q16</f>
        <v>1.3200000000000003</v>
      </c>
      <c r="AT27" s="555">
        <f>'[18]SATIM input'!R16</f>
        <v>1.3200000000000003</v>
      </c>
      <c r="AU27" s="555">
        <f>'[18]SATIM input'!S16</f>
        <v>1.3200000000000003</v>
      </c>
      <c r="AV27" s="555">
        <f>'[18]SATIM input'!T16</f>
        <v>1.3200000000000003</v>
      </c>
      <c r="AW27" s="555">
        <f>'[18]SATIM input'!U16</f>
        <v>1.3200000000000003</v>
      </c>
      <c r="AX27" s="555">
        <f>'[18]SATIM input'!V16</f>
        <v>1.3200000000000003</v>
      </c>
      <c r="AY27" s="555">
        <f>'[18]SATIM input'!W16</f>
        <v>1.3200000000000003</v>
      </c>
      <c r="AZ27" s="555">
        <f>'[18]SATIM input'!X16</f>
        <v>1.3200000000000003</v>
      </c>
      <c r="BA27" s="555">
        <f>'[18]SATIM input'!Y16</f>
        <v>1.3200000000000003</v>
      </c>
      <c r="BB27" s="555">
        <f>'[18]SATIM input'!Z16</f>
        <v>1.3200000000000003</v>
      </c>
      <c r="BC27" s="555">
        <f>'[18]SATIM input'!AA16</f>
        <v>1.3200000000000003</v>
      </c>
      <c r="BD27" s="555">
        <f>'[18]SATIM input'!AB16</f>
        <v>1.3200000000000003</v>
      </c>
      <c r="BE27" s="555">
        <f>'[18]SATIM input'!AC16</f>
        <v>0</v>
      </c>
      <c r="BF27" s="555">
        <f>'[18]SATIM input'!AD16</f>
        <v>0</v>
      </c>
      <c r="BG27" s="555">
        <f>'[18]SATIM input'!AE16</f>
        <v>0</v>
      </c>
      <c r="BH27" s="555">
        <f>'[18]SATIM input'!AF16</f>
        <v>0</v>
      </c>
      <c r="BI27" s="555">
        <f>'[18]SATIM input'!AG16</f>
        <v>0</v>
      </c>
      <c r="BJ27" s="555">
        <f>'[18]SATIM input'!AH16</f>
        <v>0</v>
      </c>
      <c r="BK27" s="555">
        <f>'[18]SATIM input'!AI16</f>
        <v>0</v>
      </c>
      <c r="BL27" s="555">
        <f>'[18]SATIM input'!AJ16</f>
        <v>0</v>
      </c>
      <c r="BM27" s="555">
        <f>'[18]SATIM input'!AK16</f>
        <v>0</v>
      </c>
      <c r="BN27" s="555">
        <f>'[18]SATIM input'!AL16</f>
        <v>0</v>
      </c>
      <c r="BO27" s="555">
        <f>'[18]SATIM input'!AM16</f>
        <v>0</v>
      </c>
    </row>
    <row r="28" spans="1:67" ht="15" x14ac:dyDescent="0.25">
      <c r="A28" s="560"/>
      <c r="B28" s="113" t="s">
        <v>170</v>
      </c>
      <c r="D28" s="113" t="s">
        <v>40</v>
      </c>
      <c r="E28" s="113" t="s">
        <v>1392</v>
      </c>
      <c r="F28" s="113" t="s">
        <v>707</v>
      </c>
      <c r="G28" s="113" t="s">
        <v>1101</v>
      </c>
      <c r="H28" s="113" t="s">
        <v>594</v>
      </c>
      <c r="I28" s="113">
        <v>3</v>
      </c>
      <c r="J28" s="113">
        <v>0.17</v>
      </c>
      <c r="K28" s="559"/>
      <c r="L28" s="631">
        <f t="shared" si="2"/>
        <v>0.20494664672805019</v>
      </c>
      <c r="M28" s="555" t="str">
        <f t="shared" si="3"/>
        <v/>
      </c>
      <c r="O28" s="632">
        <f t="shared" si="4"/>
        <v>0.20494664672805019</v>
      </c>
      <c r="R28" s="631" cm="1">
        <f t="array" ref="R28">IF(H28="LO",INDEX($Z$23:$Z$47,MATCH(AC28,$AD$23:$AD$47,0),0),INDEX($AA$23:$AA$47,MATCH(AC28,$AD$23:$AD$47,0),0))</f>
        <v>0.26624664413572674</v>
      </c>
      <c r="X28" s="560" t="s">
        <v>170</v>
      </c>
      <c r="Y28" s="113" t="s">
        <v>39</v>
      </c>
      <c r="Z28" s="635">
        <f>'[18]SATIM input'!D87</f>
        <v>0.12782206880423377</v>
      </c>
      <c r="AA28" s="635">
        <f>'[18]SATIM input'!E87</f>
        <v>0.12910028949227612</v>
      </c>
      <c r="AB28" s="559"/>
      <c r="AC28" s="555" t="str">
        <f t="shared" si="5"/>
        <v>IISBFBOF-EIISCOA</v>
      </c>
      <c r="AD28" s="555" t="str">
        <f t="shared" si="1"/>
        <v>IISBFBOF-EIISELC</v>
      </c>
    </row>
    <row r="29" spans="1:67" ht="15" x14ac:dyDescent="0.25">
      <c r="A29" s="560"/>
      <c r="B29" s="113" t="s">
        <v>170</v>
      </c>
      <c r="D29" s="113" t="s">
        <v>39</v>
      </c>
      <c r="E29" s="113" t="s">
        <v>1392</v>
      </c>
      <c r="F29" s="113" t="s">
        <v>707</v>
      </c>
      <c r="G29" s="113" t="s">
        <v>1101</v>
      </c>
      <c r="H29" s="113" t="s">
        <v>593</v>
      </c>
      <c r="I29" s="113">
        <v>3</v>
      </c>
      <c r="J29" s="113">
        <v>0.23</v>
      </c>
      <c r="K29" s="559"/>
      <c r="L29" s="631">
        <f t="shared" si="2"/>
        <v>0.13801851523202419</v>
      </c>
      <c r="M29" s="555" t="str">
        <f t="shared" si="3"/>
        <v/>
      </c>
      <c r="O29" s="632">
        <f t="shared" si="4"/>
        <v>0.13801851523202419</v>
      </c>
      <c r="R29" s="631" cm="1">
        <f t="array" ref="R29">IF(H29="LO",INDEX($Z$23:$Z$47,MATCH(AC29,$AD$23:$AD$47,0),0),INDEX($AA$23:$AA$47,MATCH(AC29,$AD$23:$AD$47,0),0))</f>
        <v>0.12782206880423377</v>
      </c>
      <c r="X29" s="560" t="s">
        <v>175</v>
      </c>
      <c r="Y29" s="113" t="s">
        <v>39</v>
      </c>
      <c r="Z29" s="635">
        <f>'[18]SATIM input'!D88</f>
        <v>0.17508378988061105</v>
      </c>
      <c r="AA29" s="635">
        <f>'[18]SATIM input'!E88</f>
        <v>0.17683462777941716</v>
      </c>
      <c r="AB29" s="559"/>
      <c r="AC29" s="555" t="str">
        <f t="shared" si="5"/>
        <v>IISBFBOF-EIISELC</v>
      </c>
      <c r="AD29" s="555" t="str">
        <f t="shared" si="1"/>
        <v>IISDRIEAF-EIISELC</v>
      </c>
    </row>
    <row r="30" spans="1:67" ht="15" x14ac:dyDescent="0.25">
      <c r="A30" s="560"/>
      <c r="B30" s="113" t="s">
        <v>170</v>
      </c>
      <c r="D30" s="113" t="s">
        <v>592</v>
      </c>
      <c r="E30" s="113" t="s">
        <v>1392</v>
      </c>
      <c r="F30" s="113" t="s">
        <v>707</v>
      </c>
      <c r="G30" s="113" t="s">
        <v>1101</v>
      </c>
      <c r="H30" s="113" t="s">
        <v>593</v>
      </c>
      <c r="I30" s="113">
        <v>3</v>
      </c>
      <c r="J30" s="113">
        <v>0.245</v>
      </c>
      <c r="K30" s="559"/>
      <c r="L30" s="631">
        <f t="shared" si="2"/>
        <v>0.23508585948217525</v>
      </c>
      <c r="M30" s="555" t="str">
        <f t="shared" si="3"/>
        <v/>
      </c>
      <c r="O30" s="632">
        <f t="shared" si="4"/>
        <v>0.23508585948217525</v>
      </c>
      <c r="R30" s="631" cm="1">
        <f t="array" ref="R30">IF(H30="LO",INDEX($Z$23:$Z$47,MATCH(AC30,$AD$23:$AD$47,0),0),INDEX($AA$23:$AA$47,MATCH(AC30,$AD$23:$AD$47,0),0))</f>
        <v>3.2055167215532178E-2</v>
      </c>
      <c r="X30" s="560" t="s">
        <v>181</v>
      </c>
      <c r="Y30" s="113" t="s">
        <v>39</v>
      </c>
      <c r="Z30" s="635">
        <f>'[18]SATIM input'!D89</f>
        <v>0.74487768236857965</v>
      </c>
      <c r="AA30" s="635">
        <f>'[18]SATIM input'!E89</f>
        <v>0.75232645919226548</v>
      </c>
      <c r="AB30" s="559"/>
      <c r="AC30" s="555" t="str">
        <f t="shared" si="5"/>
        <v>IISBFBOF-EIISGAS</v>
      </c>
      <c r="AD30" s="555" t="str">
        <f t="shared" si="1"/>
        <v>IISSCREAF-EIISELC</v>
      </c>
      <c r="AE30" s="567" t="s">
        <v>530</v>
      </c>
    </row>
    <row r="31" spans="1:67" ht="15" x14ac:dyDescent="0.25">
      <c r="A31" s="560"/>
      <c r="B31" s="113" t="s">
        <v>170</v>
      </c>
      <c r="D31" s="113" t="s">
        <v>592</v>
      </c>
      <c r="E31" s="113" t="s">
        <v>1392</v>
      </c>
      <c r="F31" s="113" t="s">
        <v>707</v>
      </c>
      <c r="G31" s="113" t="s">
        <v>1101</v>
      </c>
      <c r="H31" s="113" t="s">
        <v>594</v>
      </c>
      <c r="I31" s="113">
        <v>3</v>
      </c>
      <c r="J31" s="113">
        <v>0.245</v>
      </c>
      <c r="K31" s="559"/>
      <c r="L31" s="631">
        <f t="shared" si="2"/>
        <v>0.23508585948217525</v>
      </c>
      <c r="M31" s="555" t="str">
        <f t="shared" si="3"/>
        <v/>
      </c>
      <c r="O31" s="632">
        <f t="shared" si="4"/>
        <v>0.23508585948217525</v>
      </c>
      <c r="R31" s="631" cm="1">
        <f t="array" ref="R31">IF(H31="LO",INDEX($Z$23:$Z$47,MATCH(AC31,$AD$23:$AD$47,0),0),INDEX($AA$23:$AA$47,MATCH(AC31,$AD$23:$AD$47,0),0))</f>
        <v>3.2375718887687498E-2</v>
      </c>
      <c r="X31" s="560" t="s">
        <v>172</v>
      </c>
      <c r="Y31" s="113" t="s">
        <v>39</v>
      </c>
      <c r="Z31" s="635">
        <f>'[18]SATIM input'!D90</f>
        <v>7.8007640891601907E-2</v>
      </c>
      <c r="AA31" s="635">
        <f>'[18]SATIM input'!E90</f>
        <v>7.8787717300517923E-2</v>
      </c>
      <c r="AB31" s="559"/>
      <c r="AC31" s="555" t="str">
        <f t="shared" si="5"/>
        <v>IISBFBOF-EIISGAS</v>
      </c>
      <c r="AD31" s="555" t="str">
        <f t="shared" si="1"/>
        <v>IISCOREAF-EIISELC</v>
      </c>
      <c r="AE31" s="567" t="s">
        <v>534</v>
      </c>
      <c r="AF31" s="555" t="str">
        <f>'[18]SATIM input'!D29</f>
        <v>-0.126</v>
      </c>
      <c r="AG31" s="555" t="str">
        <f>'[18]SATIM input'!E29</f>
        <v>-0.126</v>
      </c>
      <c r="AH31" s="555" t="str">
        <f>'[18]SATIM input'!F29</f>
        <v>-0.126</v>
      </c>
      <c r="AI31" s="555" t="str">
        <f>'[18]SATIM input'!G29</f>
        <v>-0.217</v>
      </c>
      <c r="AJ31" s="555" t="str">
        <f>'[18]SATIM input'!H29</f>
        <v>-0.221</v>
      </c>
      <c r="AK31" s="555" t="str">
        <f>'[18]SATIM input'!I29</f>
        <v>-0.216</v>
      </c>
      <c r="AL31" s="555" t="str">
        <f>'[18]SATIM input'!J29</f>
        <v>-0.196</v>
      </c>
      <c r="AM31" s="555" t="str">
        <f>'[18]SATIM input'!K29</f>
        <v>-0.201</v>
      </c>
      <c r="AN31" s="555" t="str">
        <f>'[18]SATIM input'!L29</f>
        <v>-0.246</v>
      </c>
    </row>
    <row r="32" spans="1:67" ht="15" x14ac:dyDescent="0.25">
      <c r="A32" s="560"/>
      <c r="B32" s="113" t="s">
        <v>170</v>
      </c>
      <c r="D32" s="113" t="s">
        <v>1337</v>
      </c>
      <c r="E32" s="113" t="s">
        <v>1392</v>
      </c>
      <c r="F32" s="113" t="s">
        <v>707</v>
      </c>
      <c r="G32" s="113" t="s">
        <v>1101</v>
      </c>
      <c r="H32" s="113" t="s">
        <v>593</v>
      </c>
      <c r="I32" s="113">
        <v>3</v>
      </c>
      <c r="J32" s="113">
        <v>5.0000000000000001E-3</v>
      </c>
      <c r="K32" s="559"/>
      <c r="M32" s="555" t="str">
        <f t="shared" si="3"/>
        <v/>
      </c>
      <c r="N32" s="631">
        <f>IF(H32="UP",J32,0)</f>
        <v>0</v>
      </c>
      <c r="O32" s="632">
        <f t="shared" si="4"/>
        <v>0</v>
      </c>
      <c r="R32" s="631"/>
      <c r="X32" s="560" t="s">
        <v>179</v>
      </c>
      <c r="Y32" s="113" t="s">
        <v>39</v>
      </c>
      <c r="Z32" s="635">
        <f>'[18]SATIM input'!D91</f>
        <v>0.46153846153846151</v>
      </c>
      <c r="AA32" s="635">
        <f>'[18]SATIM input'!E91</f>
        <v>0.46615384615384614</v>
      </c>
      <c r="AB32" s="559"/>
      <c r="AC32" s="555" t="str">
        <f t="shared" si="5"/>
        <v>IISBFBOF-EIISOIL</v>
      </c>
      <c r="AD32" s="555" t="str">
        <f t="shared" si="1"/>
        <v>IISOTHEAF-EIISELC</v>
      </c>
      <c r="AE32" s="567" t="s">
        <v>792</v>
      </c>
      <c r="AF32" s="555" t="str">
        <f>'[18]SATIM input'!D30</f>
        <v>-0.121</v>
      </c>
      <c r="AG32" s="555" t="str">
        <f>'[18]SATIM input'!E30</f>
        <v>-0.121</v>
      </c>
      <c r="AH32" s="555" t="str">
        <f>'[18]SATIM input'!F30</f>
        <v>-0.121</v>
      </c>
      <c r="AI32" s="555" t="str">
        <f>'[18]SATIM input'!G30</f>
        <v>-0.209</v>
      </c>
      <c r="AJ32" s="555" t="str">
        <f>'[18]SATIM input'!H30</f>
        <v>-0.212</v>
      </c>
      <c r="AK32" s="555" t="str">
        <f>'[18]SATIM input'!I30</f>
        <v>-0.208</v>
      </c>
      <c r="AL32" s="555" t="str">
        <f>'[18]SATIM input'!J30</f>
        <v>-0.188</v>
      </c>
      <c r="AM32" s="555" t="str">
        <f>'[18]SATIM input'!K30</f>
        <v>-0.193</v>
      </c>
      <c r="AN32" s="555" t="str">
        <f>'[18]SATIM input'!L30</f>
        <v>-0.237</v>
      </c>
    </row>
    <row r="33" spans="1:30" ht="15" x14ac:dyDescent="0.25">
      <c r="A33" s="560"/>
      <c r="B33" s="449" t="s">
        <v>170</v>
      </c>
      <c r="C33" s="557"/>
      <c r="D33" s="449" t="s">
        <v>1337</v>
      </c>
      <c r="E33" s="449" t="s">
        <v>1392</v>
      </c>
      <c r="F33" s="449" t="s">
        <v>707</v>
      </c>
      <c r="G33" s="449" t="s">
        <v>1101</v>
      </c>
      <c r="H33" s="449" t="s">
        <v>594</v>
      </c>
      <c r="I33" s="449">
        <v>3</v>
      </c>
      <c r="J33" s="449">
        <v>5.0000000000000001E-3</v>
      </c>
      <c r="K33" s="559"/>
      <c r="M33" s="557" t="str">
        <f t="shared" si="3"/>
        <v/>
      </c>
      <c r="N33" s="633">
        <f>IF(H33="UP",J33,0)</f>
        <v>5.0000000000000001E-3</v>
      </c>
      <c r="O33" s="634">
        <f t="shared" si="4"/>
        <v>5.0000000000000001E-3</v>
      </c>
      <c r="P33" s="557"/>
      <c r="Q33" s="557"/>
      <c r="R33" s="633"/>
      <c r="X33" s="560" t="s">
        <v>170</v>
      </c>
      <c r="Y33" s="113" t="s">
        <v>43</v>
      </c>
      <c r="Z33" s="635">
        <f>'[18]SATIM input'!D92</f>
        <v>0.54033090194192068</v>
      </c>
      <c r="AA33" s="635">
        <f>'[18]SATIM input'!E92</f>
        <v>0.54573421096133989</v>
      </c>
      <c r="AB33" s="559"/>
      <c r="AC33" s="555" t="str">
        <f t="shared" si="5"/>
        <v>IISBFBOF-EIISOIL</v>
      </c>
      <c r="AD33" s="555" t="str">
        <f t="shared" si="1"/>
        <v>IISBFBOF-EIISCKE</v>
      </c>
    </row>
    <row r="34" spans="1:30" ht="15" x14ac:dyDescent="0.25">
      <c r="A34" s="560"/>
      <c r="B34" s="113" t="s">
        <v>539</v>
      </c>
      <c r="D34" s="113" t="s">
        <v>43</v>
      </c>
      <c r="E34" s="113" t="s">
        <v>1388</v>
      </c>
      <c r="F34" s="113" t="s">
        <v>707</v>
      </c>
      <c r="G34" s="113" t="s">
        <v>1101</v>
      </c>
      <c r="H34" s="113" t="s">
        <v>593</v>
      </c>
      <c r="I34" s="113">
        <v>3</v>
      </c>
      <c r="J34" s="113">
        <v>0.25</v>
      </c>
      <c r="K34" s="559"/>
      <c r="M34" s="555">
        <f t="shared" si="3"/>
        <v>0.25</v>
      </c>
      <c r="O34" s="632">
        <f t="shared" si="4"/>
        <v>0.25</v>
      </c>
      <c r="R34" s="631">
        <f t="shared" ref="R34:R42" si="6">R25</f>
        <v>0.54033090194192068</v>
      </c>
      <c r="X34" s="560" t="s">
        <v>175</v>
      </c>
      <c r="Y34" s="113" t="s">
        <v>43</v>
      </c>
      <c r="Z34" s="635">
        <f>'[18]SATIM input'!D93</f>
        <v>0</v>
      </c>
      <c r="AA34" s="635">
        <f>'[18]SATIM input'!E93</f>
        <v>0</v>
      </c>
      <c r="AB34" s="559"/>
      <c r="AC34" s="555" t="str">
        <f t="shared" si="5"/>
        <v>IISBFBOF-NIISCKE</v>
      </c>
      <c r="AD34" s="555" t="str">
        <f t="shared" si="1"/>
        <v>IISDRIEAF-EIISCKE</v>
      </c>
    </row>
    <row r="35" spans="1:30" ht="15" x14ac:dyDescent="0.25">
      <c r="A35" s="560"/>
      <c r="B35" s="113" t="s">
        <v>539</v>
      </c>
      <c r="D35" s="113" t="s">
        <v>43</v>
      </c>
      <c r="E35" s="113" t="s">
        <v>1388</v>
      </c>
      <c r="F35" s="113" t="s">
        <v>707</v>
      </c>
      <c r="G35" s="113" t="s">
        <v>1101</v>
      </c>
      <c r="H35" s="113" t="s">
        <v>594</v>
      </c>
      <c r="I35" s="113">
        <v>3</v>
      </c>
      <c r="J35" s="113">
        <v>0.35</v>
      </c>
      <c r="K35" s="559"/>
      <c r="M35" s="555">
        <f t="shared" si="3"/>
        <v>0.35</v>
      </c>
      <c r="O35" s="632">
        <f t="shared" si="4"/>
        <v>0.35</v>
      </c>
      <c r="R35" s="631">
        <f t="shared" si="6"/>
        <v>0.54573421096133989</v>
      </c>
      <c r="X35" s="560" t="s">
        <v>181</v>
      </c>
      <c r="Y35" s="113" t="s">
        <v>43</v>
      </c>
      <c r="Z35" s="635">
        <f>'[18]SATIM input'!D94</f>
        <v>0</v>
      </c>
      <c r="AA35" s="635">
        <f>'[18]SATIM input'!E94</f>
        <v>0</v>
      </c>
      <c r="AB35" s="559"/>
      <c r="AC35" s="555" t="str">
        <f t="shared" si="5"/>
        <v>IISBFBOF-NIISCKE</v>
      </c>
      <c r="AD35" s="555" t="str">
        <f t="shared" si="1"/>
        <v>IISSCREAF-EIISCKE</v>
      </c>
    </row>
    <row r="36" spans="1:30" ht="15" x14ac:dyDescent="0.25">
      <c r="A36" s="560"/>
      <c r="B36" s="113" t="s">
        <v>539</v>
      </c>
      <c r="D36" s="113" t="s">
        <v>40</v>
      </c>
      <c r="E36" s="113" t="s">
        <v>1388</v>
      </c>
      <c r="F36" s="113" t="s">
        <v>707</v>
      </c>
      <c r="G36" s="113" t="s">
        <v>1101</v>
      </c>
      <c r="H36" s="113" t="s">
        <v>593</v>
      </c>
      <c r="I36" s="113">
        <v>3</v>
      </c>
      <c r="J36" s="113">
        <v>0.15</v>
      </c>
      <c r="K36" s="559"/>
      <c r="M36" s="555">
        <f t="shared" si="3"/>
        <v>0.15</v>
      </c>
      <c r="O36" s="632">
        <f t="shared" si="4"/>
        <v>0.15</v>
      </c>
      <c r="R36" s="631">
        <f t="shared" si="6"/>
        <v>0.26361053874824431</v>
      </c>
      <c r="X36" s="560" t="s">
        <v>172</v>
      </c>
      <c r="Y36" s="113" t="s">
        <v>43</v>
      </c>
      <c r="Z36" s="635">
        <f>'[18]SATIM input'!D95</f>
        <v>0.11737260782301213</v>
      </c>
      <c r="AA36" s="635">
        <f>'[18]SATIM input'!E95</f>
        <v>0.11854633390124225</v>
      </c>
      <c r="AB36" s="559"/>
      <c r="AC36" s="555" t="str">
        <f t="shared" si="5"/>
        <v>IISBFBOF-NIISCOA</v>
      </c>
      <c r="AD36" s="555" t="str">
        <f t="shared" si="1"/>
        <v>IISCOREAF-EIISCKE</v>
      </c>
    </row>
    <row r="37" spans="1:30" ht="15" x14ac:dyDescent="0.25">
      <c r="A37" s="560"/>
      <c r="B37" s="113" t="s">
        <v>539</v>
      </c>
      <c r="D37" s="113" t="s">
        <v>40</v>
      </c>
      <c r="E37" s="113" t="s">
        <v>1388</v>
      </c>
      <c r="F37" s="113" t="s">
        <v>707</v>
      </c>
      <c r="G37" s="113" t="s">
        <v>1101</v>
      </c>
      <c r="H37" s="113" t="s">
        <v>594</v>
      </c>
      <c r="I37" s="113">
        <v>3</v>
      </c>
      <c r="J37" s="113">
        <v>0.17100000000000001</v>
      </c>
      <c r="K37" s="559"/>
      <c r="M37" s="555">
        <f t="shared" si="3"/>
        <v>0.17100000000000001</v>
      </c>
      <c r="O37" s="632">
        <f t="shared" si="4"/>
        <v>0.17100000000000001</v>
      </c>
      <c r="R37" s="631">
        <f t="shared" si="6"/>
        <v>0.26624664413572674</v>
      </c>
      <c r="X37" s="560" t="s">
        <v>179</v>
      </c>
      <c r="Y37" s="113" t="s">
        <v>43</v>
      </c>
      <c r="Z37" s="635">
        <f>'[18]SATIM input'!D96</f>
        <v>0</v>
      </c>
      <c r="AA37" s="635">
        <f>'[18]SATIM input'!E96</f>
        <v>0</v>
      </c>
      <c r="AB37" s="559"/>
      <c r="AC37" s="555" t="str">
        <f t="shared" si="5"/>
        <v>IISBFBOF-NIISCOA</v>
      </c>
      <c r="AD37" s="555" t="str">
        <f t="shared" si="1"/>
        <v>IISOTHEAF-EIISCKE</v>
      </c>
    </row>
    <row r="38" spans="1:30" ht="15" x14ac:dyDescent="0.25">
      <c r="A38" s="560"/>
      <c r="B38" s="113" t="s">
        <v>539</v>
      </c>
      <c r="D38" s="113" t="s">
        <v>39</v>
      </c>
      <c r="E38" s="113" t="s">
        <v>1388</v>
      </c>
      <c r="F38" s="113" t="s">
        <v>707</v>
      </c>
      <c r="G38" s="113" t="s">
        <v>1101</v>
      </c>
      <c r="H38" s="113" t="s">
        <v>1102</v>
      </c>
      <c r="I38" s="113">
        <v>3</v>
      </c>
      <c r="J38" s="113">
        <v>0.23</v>
      </c>
      <c r="K38" s="559"/>
      <c r="M38" s="555">
        <f t="shared" si="3"/>
        <v>0.23</v>
      </c>
      <c r="O38" s="632">
        <f t="shared" si="4"/>
        <v>0.23</v>
      </c>
      <c r="R38" s="631">
        <f t="shared" si="6"/>
        <v>0.12782206880423377</v>
      </c>
      <c r="X38" s="560" t="s">
        <v>170</v>
      </c>
      <c r="Y38" s="555" t="s">
        <v>595</v>
      </c>
      <c r="Z38" s="635">
        <f>'[18]SATIM input'!D97</f>
        <v>3.6181323290069074E-2</v>
      </c>
      <c r="AA38" s="635">
        <f>'[18]SATIM input'!E97</f>
        <v>3.6543136522969769E-2</v>
      </c>
      <c r="AB38" s="559"/>
      <c r="AC38" s="555" t="str">
        <f t="shared" si="5"/>
        <v>IISBFBOF-NIISELC</v>
      </c>
      <c r="AD38" s="555" t="str">
        <f t="shared" si="1"/>
        <v>IISBFBOF-EIISOLP</v>
      </c>
    </row>
    <row r="39" spans="1:30" ht="15" x14ac:dyDescent="0.25">
      <c r="A39" s="560"/>
      <c r="B39" s="113" t="s">
        <v>539</v>
      </c>
      <c r="D39" s="113" t="s">
        <v>592</v>
      </c>
      <c r="E39" s="113" t="s">
        <v>1388</v>
      </c>
      <c r="F39" s="113" t="s">
        <v>707</v>
      </c>
      <c r="G39" s="113" t="s">
        <v>1101</v>
      </c>
      <c r="H39" s="113" t="s">
        <v>593</v>
      </c>
      <c r="I39" s="113">
        <v>3</v>
      </c>
      <c r="J39" s="113">
        <v>7.4999999999999997E-2</v>
      </c>
      <c r="K39" s="559"/>
      <c r="M39" s="555">
        <f t="shared" si="3"/>
        <v>7.4999999999999997E-2</v>
      </c>
      <c r="O39" s="632">
        <f t="shared" si="4"/>
        <v>7.4999999999999997E-2</v>
      </c>
      <c r="R39" s="631">
        <f t="shared" si="6"/>
        <v>3.2055167215532178E-2</v>
      </c>
      <c r="X39" s="560" t="s">
        <v>175</v>
      </c>
      <c r="Y39" s="555" t="s">
        <v>595</v>
      </c>
      <c r="Z39" s="635">
        <f>'[18]SATIM input'!D98</f>
        <v>0</v>
      </c>
      <c r="AA39" s="635">
        <f>'[18]SATIM input'!E98</f>
        <v>0</v>
      </c>
      <c r="AB39" s="559"/>
      <c r="AC39" s="555" t="str">
        <f t="shared" si="5"/>
        <v>IISBFBOF-NIISGAS</v>
      </c>
      <c r="AD39" s="555" t="str">
        <f t="shared" si="1"/>
        <v>IISDRIEAF-EIISOLP</v>
      </c>
    </row>
    <row r="40" spans="1:30" ht="15" x14ac:dyDescent="0.25">
      <c r="A40" s="560"/>
      <c r="B40" s="113" t="s">
        <v>539</v>
      </c>
      <c r="D40" s="113" t="s">
        <v>592</v>
      </c>
      <c r="E40" s="113" t="s">
        <v>1388</v>
      </c>
      <c r="F40" s="113" t="s">
        <v>707</v>
      </c>
      <c r="G40" s="113" t="s">
        <v>1101</v>
      </c>
      <c r="H40" s="113" t="s">
        <v>594</v>
      </c>
      <c r="I40" s="113">
        <v>3</v>
      </c>
      <c r="J40" s="113">
        <v>0.245</v>
      </c>
      <c r="K40" s="559"/>
      <c r="M40" s="555">
        <f t="shared" si="3"/>
        <v>0.245</v>
      </c>
      <c r="O40" s="632">
        <f t="shared" si="4"/>
        <v>0.245</v>
      </c>
      <c r="R40" s="631">
        <f t="shared" si="6"/>
        <v>3.2375718887687498E-2</v>
      </c>
      <c r="X40" s="560" t="s">
        <v>181</v>
      </c>
      <c r="Y40" s="555" t="s">
        <v>595</v>
      </c>
      <c r="Z40" s="635">
        <f>'[18]SATIM input'!D99</f>
        <v>0.12863089961074112</v>
      </c>
      <c r="AA40" s="635">
        <f>'[18]SATIM input'!E99</f>
        <v>0.12991720860684852</v>
      </c>
      <c r="AB40" s="559"/>
      <c r="AC40" s="555" t="str">
        <f t="shared" si="5"/>
        <v>IISBFBOF-NIISGAS</v>
      </c>
      <c r="AD40" s="555" t="str">
        <f t="shared" si="1"/>
        <v>IISSCREAF-EIISOLP</v>
      </c>
    </row>
    <row r="41" spans="1:30" ht="15" x14ac:dyDescent="0.25">
      <c r="A41" s="560"/>
      <c r="B41" s="113" t="s">
        <v>539</v>
      </c>
      <c r="D41" s="113" t="s">
        <v>1337</v>
      </c>
      <c r="E41" s="113" t="s">
        <v>1388</v>
      </c>
      <c r="F41" s="113" t="s">
        <v>707</v>
      </c>
      <c r="G41" s="113" t="s">
        <v>1101</v>
      </c>
      <c r="H41" s="113" t="s">
        <v>593</v>
      </c>
      <c r="I41" s="113">
        <v>3</v>
      </c>
      <c r="J41" s="113">
        <v>5.0000000000000001E-3</v>
      </c>
      <c r="K41" s="559"/>
      <c r="M41" s="555">
        <f t="shared" si="3"/>
        <v>5.0000000000000001E-3</v>
      </c>
      <c r="O41" s="632">
        <f t="shared" si="4"/>
        <v>5.0000000000000001E-3</v>
      </c>
      <c r="R41" s="631">
        <f t="shared" si="6"/>
        <v>0</v>
      </c>
      <c r="X41" s="560" t="s">
        <v>172</v>
      </c>
      <c r="Y41" s="555" t="s">
        <v>595</v>
      </c>
      <c r="Z41" s="635">
        <f>'[18]SATIM input'!D100</f>
        <v>9.794992575659793E-3</v>
      </c>
      <c r="AA41" s="635">
        <f>'[18]SATIM input'!E100</f>
        <v>9.8929425014163911E-3</v>
      </c>
      <c r="AB41" s="559"/>
      <c r="AC41" s="555" t="str">
        <f t="shared" si="5"/>
        <v>IISBFBOF-NIISOIL</v>
      </c>
      <c r="AD41" s="555" t="str">
        <f t="shared" si="1"/>
        <v>IISCOREAF-EIISOLP</v>
      </c>
    </row>
    <row r="42" spans="1:30" ht="15" x14ac:dyDescent="0.25">
      <c r="A42" s="560"/>
      <c r="B42" s="449" t="s">
        <v>539</v>
      </c>
      <c r="C42" s="557"/>
      <c r="D42" s="449" t="s">
        <v>1337</v>
      </c>
      <c r="E42" s="449" t="s">
        <v>1388</v>
      </c>
      <c r="F42" s="449" t="s">
        <v>707</v>
      </c>
      <c r="G42" s="449" t="s">
        <v>1101</v>
      </c>
      <c r="H42" s="449" t="s">
        <v>594</v>
      </c>
      <c r="I42" s="449">
        <v>3</v>
      </c>
      <c r="J42" s="449">
        <v>0.15</v>
      </c>
      <c r="K42" s="559"/>
      <c r="M42" s="557">
        <f t="shared" si="3"/>
        <v>0.15</v>
      </c>
      <c r="N42" s="557"/>
      <c r="O42" s="634">
        <f t="shared" si="4"/>
        <v>0.15</v>
      </c>
      <c r="P42" s="557"/>
      <c r="Q42" s="557"/>
      <c r="R42" s="633">
        <f t="shared" si="6"/>
        <v>0</v>
      </c>
      <c r="X42" s="560" t="s">
        <v>179</v>
      </c>
      <c r="Y42" s="555" t="s">
        <v>595</v>
      </c>
      <c r="Z42" s="635">
        <f>'[18]SATIM input'!D101</f>
        <v>0</v>
      </c>
      <c r="AA42" s="635">
        <f>'[18]SATIM input'!E101</f>
        <v>0</v>
      </c>
      <c r="AB42" s="559"/>
      <c r="AC42" s="555" t="str">
        <f t="shared" si="5"/>
        <v>IISBFBOF-NIISOIL</v>
      </c>
      <c r="AD42" s="555" t="str">
        <f t="shared" si="1"/>
        <v>IISOTHEAF-EIISOLP</v>
      </c>
    </row>
    <row r="43" spans="1:30" ht="15" x14ac:dyDescent="0.25">
      <c r="A43" s="560"/>
      <c r="B43" s="113" t="s">
        <v>172</v>
      </c>
      <c r="D43" s="113" t="s">
        <v>43</v>
      </c>
      <c r="E43" s="113" t="s">
        <v>1384</v>
      </c>
      <c r="F43" s="113" t="s">
        <v>707</v>
      </c>
      <c r="G43" s="113" t="s">
        <v>1101</v>
      </c>
      <c r="H43" s="113" t="s">
        <v>1102</v>
      </c>
      <c r="I43" s="113">
        <v>3</v>
      </c>
      <c r="J43" s="113">
        <v>0.17</v>
      </c>
      <c r="K43" s="559"/>
      <c r="L43" s="631">
        <f>IF(OR(H43="LO",H43="FX"),INDEX($E$13:$H$17,MATCH(B43,$L$13:$L$17,0),MATCH(D43,$E$21:$H$21,0)),L42)</f>
        <v>0.20544199552900064</v>
      </c>
      <c r="M43" s="555" t="str">
        <f t="shared" si="3"/>
        <v/>
      </c>
      <c r="O43" s="632">
        <f t="shared" si="4"/>
        <v>0.20544199552900064</v>
      </c>
      <c r="R43" s="631" cm="1">
        <f t="array" ref="R43">IF(H43="LO",INDEX($Z$23:$Z$47,MATCH(AC43,$AD$23:$AD$47,0),0),INDEX($AA$23:$AA$47,MATCH(AC43,$AD$23:$AD$47,0),0))</f>
        <v>0.11854633390124225</v>
      </c>
      <c r="X43" s="560" t="s">
        <v>170</v>
      </c>
      <c r="Y43" s="113" t="s">
        <v>592</v>
      </c>
      <c r="Z43" s="635">
        <f>'[18]SATIM input'!D102</f>
        <v>3.2055167215532178E-2</v>
      </c>
      <c r="AA43" s="635">
        <f>'[18]SATIM input'!E102</f>
        <v>3.2375718887687498E-2</v>
      </c>
      <c r="AB43" s="559"/>
      <c r="AC43" s="555" t="str">
        <f t="shared" si="5"/>
        <v>IISCOREAF-EIISCKE</v>
      </c>
      <c r="AD43" s="555" t="str">
        <f t="shared" si="1"/>
        <v>IISBFBOF-EIISGAS</v>
      </c>
    </row>
    <row r="44" spans="1:30" ht="15" x14ac:dyDescent="0.25">
      <c r="A44" s="560"/>
      <c r="B44" s="113" t="s">
        <v>172</v>
      </c>
      <c r="D44" s="113" t="s">
        <v>40</v>
      </c>
      <c r="E44" s="113" t="s">
        <v>1384</v>
      </c>
      <c r="F44" s="113" t="s">
        <v>707</v>
      </c>
      <c r="G44" s="113" t="s">
        <v>1101</v>
      </c>
      <c r="H44" s="113" t="s">
        <v>1102</v>
      </c>
      <c r="I44" s="113">
        <v>3</v>
      </c>
      <c r="J44" s="113">
        <v>0.44</v>
      </c>
      <c r="K44" s="559"/>
      <c r="L44" s="631">
        <f>IF(OR(H44="LO",H44="FX"),INDEX($E$13:$H$17,MATCH(B44,$L$13:$L$17,0),MATCH(D44,$E$21:$H$21,0)),L43)</f>
        <v>0.53173222372211926</v>
      </c>
      <c r="M44" s="555" t="str">
        <f t="shared" si="3"/>
        <v/>
      </c>
      <c r="O44" s="632">
        <f t="shared" si="4"/>
        <v>0.53173222372211926</v>
      </c>
      <c r="R44" s="631" cm="1">
        <f t="array" ref="R44">IF(H44="LO",INDEX($Z$23:$Z$47,MATCH(AC44,$AD$23:$AD$47,0),0),INDEX($AA$23:$AA$47,MATCH(AC44,$AD$23:$AD$47,0),0))</f>
        <v>0.78422959350052568</v>
      </c>
      <c r="X44" s="560" t="s">
        <v>175</v>
      </c>
      <c r="Y44" s="113" t="s">
        <v>592</v>
      </c>
      <c r="Z44" s="635">
        <f>'[18]SATIM input'!D103</f>
        <v>8.2531739996714287E-2</v>
      </c>
      <c r="AA44" s="635">
        <f>'[18]SATIM input'!E103</f>
        <v>8.3357057396681436E-2</v>
      </c>
      <c r="AB44" s="559"/>
      <c r="AC44" s="555" t="str">
        <f t="shared" si="5"/>
        <v>IISCOREAF-EIISCOA</v>
      </c>
      <c r="AD44" s="555" t="str">
        <f t="shared" si="1"/>
        <v>IISDRIEAF-EIISGAS</v>
      </c>
    </row>
    <row r="45" spans="1:30" ht="15" x14ac:dyDescent="0.25">
      <c r="A45" s="560"/>
      <c r="B45" s="113" t="s">
        <v>172</v>
      </c>
      <c r="D45" s="113" t="s">
        <v>39</v>
      </c>
      <c r="E45" s="113" t="s">
        <v>1384</v>
      </c>
      <c r="F45" s="113" t="s">
        <v>707</v>
      </c>
      <c r="G45" s="113" t="s">
        <v>1101</v>
      </c>
      <c r="H45" s="113" t="s">
        <v>1102</v>
      </c>
      <c r="I45" s="113">
        <v>3</v>
      </c>
      <c r="J45" s="113">
        <v>0.33300000000000002</v>
      </c>
      <c r="K45" s="559"/>
      <c r="L45" s="631">
        <f>IF(OR(H45="LO",H45="FX"),INDEX($E$13:$H$17,MATCH(B45,$L$13:$L$17,0),MATCH(D45,$E$21:$H$21,0)),L44)</f>
        <v>0.26282578074888002</v>
      </c>
      <c r="M45" s="555" t="str">
        <f t="shared" si="3"/>
        <v/>
      </c>
      <c r="O45" s="632">
        <f t="shared" si="4"/>
        <v>0.26282578074888002</v>
      </c>
      <c r="R45" s="631" cm="1">
        <f t="array" ref="R45">IF(H45="LO",INDEX($Z$23:$Z$47,MATCH(AC45,$AD$23:$AD$47,0),0),INDEX($AA$23:$AA$47,MATCH(AC45,$AD$23:$AD$47,0),0))</f>
        <v>7.8787717300517923E-2</v>
      </c>
      <c r="X45" s="560" t="s">
        <v>181</v>
      </c>
      <c r="Y45" s="113" t="s">
        <v>592</v>
      </c>
      <c r="Z45" s="635">
        <f>'[18]SATIM input'!D104</f>
        <v>0.12649141802067926</v>
      </c>
      <c r="AA45" s="635">
        <f>'[18]SATIM input'!E104</f>
        <v>0.12775633220088606</v>
      </c>
      <c r="AB45" s="559"/>
      <c r="AC45" s="555" t="str">
        <f t="shared" si="5"/>
        <v>IISCOREAF-EIISELC</v>
      </c>
      <c r="AD45" s="555" t="str">
        <f t="shared" si="1"/>
        <v>IISSCREAF-EIISGAS</v>
      </c>
    </row>
    <row r="46" spans="1:30" ht="15" x14ac:dyDescent="0.25">
      <c r="A46" s="560"/>
      <c r="B46" s="113" t="s">
        <v>172</v>
      </c>
      <c r="D46" s="113" t="s">
        <v>592</v>
      </c>
      <c r="E46" s="113" t="s">
        <v>1384</v>
      </c>
      <c r="F46" s="113" t="s">
        <v>707</v>
      </c>
      <c r="G46" s="113" t="s">
        <v>1101</v>
      </c>
      <c r="H46" s="113" t="s">
        <v>1102</v>
      </c>
      <c r="I46" s="113">
        <v>3</v>
      </c>
      <c r="J46" s="113">
        <v>0</v>
      </c>
      <c r="K46" s="559"/>
      <c r="L46" s="631">
        <f>IF(OR(H46="LO",H46="FX"),INDEX($E$13:$H$17,MATCH(B46,$L$13:$L$17,0),MATCH(D46,$E$21:$H$21,0)),L45)</f>
        <v>0</v>
      </c>
      <c r="M46" s="555" t="str">
        <f t="shared" si="3"/>
        <v/>
      </c>
      <c r="O46" s="632">
        <f t="shared" si="4"/>
        <v>0</v>
      </c>
      <c r="R46" s="631" cm="1">
        <f t="array" ref="R46">IF(H46="LO",INDEX($Z$23:$Z$47,MATCH(AC46,$AD$23:$AD$47,0),0),INDEX($AA$23:$AA$47,MATCH(AC46,$AD$23:$AD$47,0),0))</f>
        <v>1.8543412796297506E-2</v>
      </c>
      <c r="X46" s="560" t="s">
        <v>172</v>
      </c>
      <c r="Y46" s="113" t="s">
        <v>592</v>
      </c>
      <c r="Z46" s="635">
        <f>'[18]SATIM input'!D105</f>
        <v>1.8359814649799511E-2</v>
      </c>
      <c r="AA46" s="635">
        <f>'[18]SATIM input'!E105</f>
        <v>1.8543412796297506E-2</v>
      </c>
      <c r="AB46" s="559"/>
      <c r="AC46" s="555" t="str">
        <f t="shared" si="5"/>
        <v>IISCOREAF-EIISGAS</v>
      </c>
      <c r="AD46" s="555" t="str">
        <f t="shared" si="1"/>
        <v>IISCOREAF-EIISGAS</v>
      </c>
    </row>
    <row r="47" spans="1:30" ht="15" x14ac:dyDescent="0.25">
      <c r="A47" s="560"/>
      <c r="B47" s="449" t="s">
        <v>172</v>
      </c>
      <c r="C47" s="557"/>
      <c r="D47" s="449" t="s">
        <v>595</v>
      </c>
      <c r="E47" s="449" t="s">
        <v>1384</v>
      </c>
      <c r="F47" s="449" t="s">
        <v>707</v>
      </c>
      <c r="G47" s="449" t="s">
        <v>1101</v>
      </c>
      <c r="H47" s="449" t="s">
        <v>1102</v>
      </c>
      <c r="I47" s="449">
        <v>3</v>
      </c>
      <c r="J47" s="449">
        <v>5.7000000000000002E-2</v>
      </c>
      <c r="K47" s="559"/>
      <c r="L47" s="631"/>
      <c r="M47" s="557" t="str">
        <f t="shared" si="3"/>
        <v/>
      </c>
      <c r="N47" s="557">
        <f>J47</f>
        <v>5.7000000000000002E-2</v>
      </c>
      <c r="O47" s="634">
        <f t="shared" si="4"/>
        <v>5.7000000000000002E-2</v>
      </c>
      <c r="P47" s="557"/>
      <c r="Q47" s="557"/>
      <c r="R47" s="631" cm="1">
        <f t="array" ref="R47">IF(H47="LO",INDEX($Z$23:$Z$47,MATCH(AC47,$AD$23:$AD$47,0),0),INDEX($AA$23:$AA$47,MATCH(AC47,$AD$23:$AD$47,0),0))</f>
        <v>9.8929425014163911E-3</v>
      </c>
      <c r="X47" s="560" t="s">
        <v>179</v>
      </c>
      <c r="Y47" s="113" t="s">
        <v>592</v>
      </c>
      <c r="Z47" s="635">
        <f>'[18]SATIM input'!D106</f>
        <v>7.6923076923076913E-2</v>
      </c>
      <c r="AA47" s="635">
        <f>'[18]SATIM input'!E106</f>
        <v>7.7692307692307686E-2</v>
      </c>
      <c r="AB47" s="559"/>
      <c r="AC47" s="555" t="str">
        <f t="shared" si="5"/>
        <v>IISCOREAF-EIISOLP</v>
      </c>
      <c r="AD47" s="555" t="str">
        <f t="shared" si="1"/>
        <v>IISOTHEAF-EIISGAS</v>
      </c>
    </row>
    <row r="48" spans="1:30" ht="15" x14ac:dyDescent="0.25">
      <c r="A48" s="560"/>
      <c r="B48" s="113" t="s">
        <v>175</v>
      </c>
      <c r="D48" s="113" t="s">
        <v>40</v>
      </c>
      <c r="E48" s="113" t="s">
        <v>1380</v>
      </c>
      <c r="F48" s="113" t="s">
        <v>707</v>
      </c>
      <c r="G48" s="113" t="s">
        <v>1101</v>
      </c>
      <c r="H48" s="113" t="s">
        <v>593</v>
      </c>
      <c r="I48" s="113">
        <v>3</v>
      </c>
      <c r="J48" s="113">
        <v>0.55000000000000004</v>
      </c>
      <c r="K48" s="559"/>
      <c r="L48" s="631">
        <f>IF(OR(H48="LO",H48="FX"),INDEX($E$13:$H$17,MATCH(B48,$L$13:$L$17,0),MATCH(D48,$E$21:$H$21,0)),L47)</f>
        <v>0.66708375644280071</v>
      </c>
      <c r="M48" s="555" t="str">
        <f t="shared" si="3"/>
        <v/>
      </c>
      <c r="O48" s="632">
        <f t="shared" si="4"/>
        <v>0.66708375644280071</v>
      </c>
      <c r="R48" s="631" cm="1">
        <f t="array" ref="R48">IF(H48="LO",INDEX($Z$23:$Z$47,MATCH(AC48,$AD$23:$AD$47,0),0),INDEX($AA$23:$AA$47,MATCH(AC48,$AD$23:$AD$47,0),0))</f>
        <v>0.74238447012267461</v>
      </c>
      <c r="X48" s="558"/>
      <c r="Y48" s="557"/>
      <c r="Z48" s="557"/>
      <c r="AA48" s="557"/>
      <c r="AB48" s="556"/>
      <c r="AC48" s="555" t="str">
        <f t="shared" si="5"/>
        <v>IISDRIEAF-EIISCOA</v>
      </c>
    </row>
    <row r="49" spans="1:29" ht="15" x14ac:dyDescent="0.25">
      <c r="A49" s="560"/>
      <c r="B49" s="113" t="s">
        <v>175</v>
      </c>
      <c r="D49" s="113" t="s">
        <v>40</v>
      </c>
      <c r="E49" s="113" t="s">
        <v>1380</v>
      </c>
      <c r="F49" s="113" t="s">
        <v>707</v>
      </c>
      <c r="G49" s="113" t="s">
        <v>1101</v>
      </c>
      <c r="H49" s="113" t="s">
        <v>594</v>
      </c>
      <c r="I49" s="113">
        <v>3</v>
      </c>
      <c r="J49" s="113">
        <v>0.55000000000000004</v>
      </c>
      <c r="K49" s="559"/>
      <c r="L49" s="631">
        <f>IF(OR(H49="LO",H49="FX"),INDEX($E$13:$H$17,MATCH(B49,$L$13:$L$17,0),MATCH(D49,$E$21:$H$21,0)),L48)</f>
        <v>0.66708375644280071</v>
      </c>
      <c r="M49" s="555" t="str">
        <f t="shared" si="3"/>
        <v/>
      </c>
      <c r="O49" s="632">
        <f t="shared" si="4"/>
        <v>0.66708375644280071</v>
      </c>
      <c r="R49" s="631" cm="1">
        <f t="array" ref="R49">IF(H49="LO",INDEX($Z$23:$Z$47,MATCH(AC49,$AD$23:$AD$47,0),0),INDEX($AA$23:$AA$47,MATCH(AC49,$AD$23:$AD$47,0),0))</f>
        <v>0.74980831482390131</v>
      </c>
      <c r="AC49" s="555" t="str">
        <f t="shared" si="5"/>
        <v>IISDRIEAF-EIISCOA</v>
      </c>
    </row>
    <row r="50" spans="1:29" ht="15" x14ac:dyDescent="0.25">
      <c r="A50" s="560"/>
      <c r="B50" s="113" t="s">
        <v>175</v>
      </c>
      <c r="D50" s="113" t="s">
        <v>39</v>
      </c>
      <c r="E50" s="113" t="s">
        <v>1380</v>
      </c>
      <c r="F50" s="113" t="s">
        <v>707</v>
      </c>
      <c r="G50" s="113" t="s">
        <v>1101</v>
      </c>
      <c r="H50" s="113" t="s">
        <v>1102</v>
      </c>
      <c r="I50" s="113">
        <v>3</v>
      </c>
      <c r="J50" s="113">
        <v>0.38</v>
      </c>
      <c r="K50" s="559"/>
      <c r="L50" s="631">
        <f>IF(OR(H50="LO",H50="FX"),INDEX($E$13:$H$17,MATCH(B50,$L$13:$L$17,0),MATCH(D50,$E$21:$H$21,0)),L49)</f>
        <v>0.32078744798551195</v>
      </c>
      <c r="M50" s="555" t="str">
        <f t="shared" si="3"/>
        <v/>
      </c>
      <c r="O50" s="632">
        <f t="shared" si="4"/>
        <v>0.32078744798551195</v>
      </c>
      <c r="R50" s="631" cm="1">
        <f t="array" ref="R50">IF(H50="LO",INDEX($Z$23:$Z$47,MATCH(AC50,$AD$23:$AD$47,0),0),INDEX($AA$23:$AA$47,MATCH(AC50,$AD$23:$AD$47,0),0))</f>
        <v>0.17683462777941716</v>
      </c>
      <c r="AC50" s="555" t="str">
        <f t="shared" si="5"/>
        <v>IISDRIEAF-EIISELC</v>
      </c>
    </row>
    <row r="51" spans="1:29" ht="15" x14ac:dyDescent="0.25">
      <c r="A51" s="560"/>
      <c r="B51" s="113" t="s">
        <v>175</v>
      </c>
      <c r="D51" s="113" t="s">
        <v>592</v>
      </c>
      <c r="E51" s="113" t="s">
        <v>1380</v>
      </c>
      <c r="F51" s="113" t="s">
        <v>707</v>
      </c>
      <c r="G51" s="113" t="s">
        <v>1101</v>
      </c>
      <c r="H51" s="113" t="s">
        <v>593</v>
      </c>
      <c r="I51" s="113">
        <v>3</v>
      </c>
      <c r="J51" s="113">
        <v>0.06</v>
      </c>
      <c r="K51" s="559"/>
      <c r="L51" s="631">
        <f>IF(OR(H51="LO",H51="FX"),INDEX($E$13:$H$17,MATCH(B51,$L$13:$L$17,0),MATCH(D51,$E$21:$H$21,0)),L50)</f>
        <v>1.2128795571687277E-2</v>
      </c>
      <c r="M51" s="555" t="str">
        <f t="shared" si="3"/>
        <v/>
      </c>
      <c r="O51" s="632">
        <f t="shared" si="4"/>
        <v>1.2128795571687277E-2</v>
      </c>
      <c r="R51" s="631" cm="1">
        <f t="array" ref="R51">IF(H51="LO",INDEX($Z$23:$Z$47,MATCH(AC51,$AD$23:$AD$47,0),0),INDEX($AA$23:$AA$47,MATCH(AC51,$AD$23:$AD$47,0),0))</f>
        <v>8.2531739996714287E-2</v>
      </c>
      <c r="AC51" s="555" t="str">
        <f t="shared" si="5"/>
        <v>IISDRIEAF-EIISGAS</v>
      </c>
    </row>
    <row r="52" spans="1:29" ht="15" x14ac:dyDescent="0.25">
      <c r="A52" s="560"/>
      <c r="B52" s="113" t="s">
        <v>175</v>
      </c>
      <c r="D52" s="113" t="s">
        <v>592</v>
      </c>
      <c r="E52" s="113" t="s">
        <v>1380</v>
      </c>
      <c r="F52" s="113" t="s">
        <v>707</v>
      </c>
      <c r="G52" s="113" t="s">
        <v>1101</v>
      </c>
      <c r="H52" s="113" t="s">
        <v>594</v>
      </c>
      <c r="I52" s="113">
        <v>3</v>
      </c>
      <c r="J52" s="113">
        <v>0.06</v>
      </c>
      <c r="K52" s="559"/>
      <c r="L52" s="631">
        <f>IF(OR(H52="LO",H52="FX"),INDEX($E$13:$H$17,MATCH(B52,$L$13:$L$17,0),MATCH(D52,$E$21:$H$21,0)),L51)</f>
        <v>1.2128795571687277E-2</v>
      </c>
      <c r="M52" s="555" t="str">
        <f t="shared" si="3"/>
        <v/>
      </c>
      <c r="O52" s="632">
        <f t="shared" si="4"/>
        <v>1.2128795571687277E-2</v>
      </c>
      <c r="R52" s="631" cm="1">
        <f t="array" ref="R52">IF(H52="LO",INDEX($Z$23:$Z$47,MATCH(AC52,$AD$23:$AD$47,0),0),INDEX($AA$23:$AA$47,MATCH(AC52,$AD$23:$AD$47,0),0))</f>
        <v>8.3357057396681436E-2</v>
      </c>
      <c r="AC52" s="555" t="str">
        <f t="shared" si="5"/>
        <v>IISDRIEAF-EIISGAS</v>
      </c>
    </row>
    <row r="53" spans="1:29" ht="15" x14ac:dyDescent="0.25">
      <c r="A53" s="560"/>
      <c r="B53" s="113" t="s">
        <v>175</v>
      </c>
      <c r="D53" s="113" t="s">
        <v>1337</v>
      </c>
      <c r="E53" s="113" t="s">
        <v>1380</v>
      </c>
      <c r="F53" s="113" t="s">
        <v>707</v>
      </c>
      <c r="G53" s="113" t="s">
        <v>1101</v>
      </c>
      <c r="H53" s="113" t="s">
        <v>593</v>
      </c>
      <c r="I53" s="113">
        <v>3</v>
      </c>
      <c r="J53" s="113">
        <v>0.01</v>
      </c>
      <c r="K53" s="559"/>
      <c r="L53" s="631"/>
      <c r="M53" s="555" t="str">
        <f t="shared" si="3"/>
        <v/>
      </c>
      <c r="N53" s="631">
        <f>IF(H53="UP",J53,0)</f>
        <v>0</v>
      </c>
      <c r="O53" s="632">
        <f t="shared" si="4"/>
        <v>0</v>
      </c>
      <c r="R53" s="631"/>
      <c r="AC53" s="555" t="str">
        <f t="shared" si="5"/>
        <v>IISDRIEAF-EIISOIL</v>
      </c>
    </row>
    <row r="54" spans="1:29" ht="15" x14ac:dyDescent="0.25">
      <c r="A54" s="560"/>
      <c r="B54" s="449" t="s">
        <v>175</v>
      </c>
      <c r="C54" s="557"/>
      <c r="D54" s="449" t="s">
        <v>1337</v>
      </c>
      <c r="E54" s="449" t="s">
        <v>1380</v>
      </c>
      <c r="F54" s="449" t="s">
        <v>707</v>
      </c>
      <c r="G54" s="449" t="s">
        <v>1101</v>
      </c>
      <c r="H54" s="449" t="s">
        <v>594</v>
      </c>
      <c r="I54" s="449">
        <v>3</v>
      </c>
      <c r="J54" s="449">
        <v>0.01</v>
      </c>
      <c r="K54" s="559"/>
      <c r="L54" s="631"/>
      <c r="M54" s="557" t="str">
        <f t="shared" si="3"/>
        <v/>
      </c>
      <c r="N54" s="633">
        <f>IF(H54="UP",J54,0)</f>
        <v>0.01</v>
      </c>
      <c r="O54" s="634">
        <f t="shared" si="4"/>
        <v>0.01</v>
      </c>
      <c r="P54" s="557"/>
      <c r="Q54" s="557"/>
      <c r="R54" s="633"/>
      <c r="AC54" s="555" t="str">
        <f t="shared" si="5"/>
        <v>IISDRIEAF-EIISOIL</v>
      </c>
    </row>
    <row r="55" spans="1:29" ht="15" x14ac:dyDescent="0.25">
      <c r="A55" s="560"/>
      <c r="B55" s="113" t="s">
        <v>540</v>
      </c>
      <c r="D55" s="113" t="s">
        <v>40</v>
      </c>
      <c r="E55" s="113" t="s">
        <v>1372</v>
      </c>
      <c r="F55" s="113" t="s">
        <v>707</v>
      </c>
      <c r="G55" s="113" t="s">
        <v>1101</v>
      </c>
      <c r="H55" s="113" t="s">
        <v>593</v>
      </c>
      <c r="I55" s="113">
        <v>3</v>
      </c>
      <c r="J55" s="113">
        <v>0.45</v>
      </c>
      <c r="K55" s="559"/>
      <c r="L55" s="631"/>
      <c r="M55" s="555">
        <f t="shared" ref="M55:M64" si="7">J55</f>
        <v>0.45</v>
      </c>
      <c r="O55" s="632">
        <f t="shared" si="4"/>
        <v>0.45</v>
      </c>
      <c r="R55" s="631">
        <f t="shared" ref="R55:R61" si="8">R48</f>
        <v>0.74238447012267461</v>
      </c>
      <c r="AC55" s="555" t="str">
        <f t="shared" si="5"/>
        <v>IISDRIEAF-NCIISCOA</v>
      </c>
    </row>
    <row r="56" spans="1:29" ht="15" x14ac:dyDescent="0.25">
      <c r="A56" s="560"/>
      <c r="B56" s="113" t="s">
        <v>540</v>
      </c>
      <c r="D56" s="113" t="s">
        <v>40</v>
      </c>
      <c r="E56" s="113" t="s">
        <v>1372</v>
      </c>
      <c r="F56" s="113" t="s">
        <v>707</v>
      </c>
      <c r="G56" s="113" t="s">
        <v>1101</v>
      </c>
      <c r="H56" s="113" t="s">
        <v>594</v>
      </c>
      <c r="I56" s="113">
        <v>3</v>
      </c>
      <c r="J56" s="113">
        <v>0.55000000000000004</v>
      </c>
      <c r="K56" s="559"/>
      <c r="L56" s="631"/>
      <c r="M56" s="555">
        <f t="shared" si="7"/>
        <v>0.55000000000000004</v>
      </c>
      <c r="O56" s="632">
        <f t="shared" si="4"/>
        <v>0.55000000000000004</v>
      </c>
      <c r="R56" s="631">
        <f t="shared" si="8"/>
        <v>0.74980831482390131</v>
      </c>
      <c r="AC56" s="555" t="str">
        <f t="shared" si="5"/>
        <v>IISDRIEAF-NCIISCOA</v>
      </c>
    </row>
    <row r="57" spans="1:29" ht="15" x14ac:dyDescent="0.25">
      <c r="A57" s="560"/>
      <c r="B57" s="113" t="s">
        <v>540</v>
      </c>
      <c r="D57" s="113" t="s">
        <v>39</v>
      </c>
      <c r="E57" s="113" t="s">
        <v>1372</v>
      </c>
      <c r="F57" s="113" t="s">
        <v>707</v>
      </c>
      <c r="G57" s="113" t="s">
        <v>1101</v>
      </c>
      <c r="H57" s="113" t="s">
        <v>1102</v>
      </c>
      <c r="I57" s="113">
        <v>3</v>
      </c>
      <c r="J57" s="113">
        <v>0.38</v>
      </c>
      <c r="K57" s="559"/>
      <c r="L57" s="631"/>
      <c r="M57" s="555">
        <f t="shared" si="7"/>
        <v>0.38</v>
      </c>
      <c r="O57" s="632">
        <f t="shared" ref="O57:O83" si="9">SUM(L57:N57)</f>
        <v>0.38</v>
      </c>
      <c r="R57" s="631">
        <f t="shared" si="8"/>
        <v>0.17683462777941716</v>
      </c>
      <c r="AC57" s="555" t="str">
        <f t="shared" ref="AC57:AC83" si="10">B57&amp;D57</f>
        <v>IISDRIEAF-NCIISELC</v>
      </c>
    </row>
    <row r="58" spans="1:29" ht="15" x14ac:dyDescent="0.25">
      <c r="A58" s="560"/>
      <c r="B58" s="113" t="s">
        <v>540</v>
      </c>
      <c r="D58" s="113" t="s">
        <v>592</v>
      </c>
      <c r="E58" s="113" t="s">
        <v>1372</v>
      </c>
      <c r="F58" s="113" t="s">
        <v>707</v>
      </c>
      <c r="G58" s="113" t="s">
        <v>1101</v>
      </c>
      <c r="H58" s="113" t="s">
        <v>593</v>
      </c>
      <c r="I58" s="113">
        <v>3</v>
      </c>
      <c r="J58" s="113">
        <v>0.06</v>
      </c>
      <c r="K58" s="559"/>
      <c r="L58" s="631"/>
      <c r="M58" s="555">
        <f t="shared" si="7"/>
        <v>0.06</v>
      </c>
      <c r="O58" s="632">
        <f t="shared" si="9"/>
        <v>0.06</v>
      </c>
      <c r="R58" s="631">
        <f t="shared" si="8"/>
        <v>8.2531739996714287E-2</v>
      </c>
      <c r="AC58" s="555" t="str">
        <f t="shared" si="10"/>
        <v>IISDRIEAF-NCIISGAS</v>
      </c>
    </row>
    <row r="59" spans="1:29" ht="15" x14ac:dyDescent="0.25">
      <c r="A59" s="560"/>
      <c r="B59" s="113" t="s">
        <v>540</v>
      </c>
      <c r="D59" s="113" t="s">
        <v>592</v>
      </c>
      <c r="E59" s="113" t="s">
        <v>1372</v>
      </c>
      <c r="F59" s="113" t="s">
        <v>707</v>
      </c>
      <c r="G59" s="113" t="s">
        <v>1101</v>
      </c>
      <c r="H59" s="113" t="s">
        <v>594</v>
      </c>
      <c r="I59" s="113">
        <v>3</v>
      </c>
      <c r="J59" s="113">
        <v>0.2</v>
      </c>
      <c r="K59" s="559"/>
      <c r="L59" s="631"/>
      <c r="M59" s="555">
        <f t="shared" si="7"/>
        <v>0.2</v>
      </c>
      <c r="O59" s="632">
        <f t="shared" si="9"/>
        <v>0.2</v>
      </c>
      <c r="R59" s="631">
        <f t="shared" si="8"/>
        <v>8.3357057396681436E-2</v>
      </c>
      <c r="AC59" s="555" t="str">
        <f t="shared" si="10"/>
        <v>IISDRIEAF-NCIISGAS</v>
      </c>
    </row>
    <row r="60" spans="1:29" ht="15" x14ac:dyDescent="0.25">
      <c r="A60" s="560"/>
      <c r="B60" s="113" t="s">
        <v>540</v>
      </c>
      <c r="D60" s="113" t="s">
        <v>1337</v>
      </c>
      <c r="E60" s="113" t="s">
        <v>1372</v>
      </c>
      <c r="F60" s="113" t="s">
        <v>707</v>
      </c>
      <c r="G60" s="113" t="s">
        <v>1101</v>
      </c>
      <c r="H60" s="113" t="s">
        <v>593</v>
      </c>
      <c r="I60" s="113">
        <v>3</v>
      </c>
      <c r="J60" s="113">
        <v>0.01</v>
      </c>
      <c r="K60" s="559"/>
      <c r="L60" s="631"/>
      <c r="M60" s="555">
        <f t="shared" si="7"/>
        <v>0.01</v>
      </c>
      <c r="O60" s="632">
        <f t="shared" si="9"/>
        <v>0.01</v>
      </c>
      <c r="R60" s="631">
        <f t="shared" si="8"/>
        <v>0</v>
      </c>
      <c r="AC60" s="555" t="str">
        <f t="shared" si="10"/>
        <v>IISDRIEAF-NCIISOIL</v>
      </c>
    </row>
    <row r="61" spans="1:29" ht="15" x14ac:dyDescent="0.25">
      <c r="A61" s="560"/>
      <c r="B61" s="449" t="s">
        <v>540</v>
      </c>
      <c r="C61" s="557"/>
      <c r="D61" s="449" t="s">
        <v>1337</v>
      </c>
      <c r="E61" s="449" t="s">
        <v>1372</v>
      </c>
      <c r="F61" s="449" t="s">
        <v>707</v>
      </c>
      <c r="G61" s="449" t="s">
        <v>1101</v>
      </c>
      <c r="H61" s="449" t="s">
        <v>594</v>
      </c>
      <c r="I61" s="449">
        <v>3</v>
      </c>
      <c r="J61" s="449">
        <v>0.15</v>
      </c>
      <c r="K61" s="559"/>
      <c r="L61" s="631"/>
      <c r="M61" s="557">
        <f t="shared" si="7"/>
        <v>0.15</v>
      </c>
      <c r="N61" s="557"/>
      <c r="O61" s="634">
        <f t="shared" si="9"/>
        <v>0.15</v>
      </c>
      <c r="P61" s="557"/>
      <c r="Q61" s="557"/>
      <c r="R61" s="633">
        <f t="shared" si="8"/>
        <v>0</v>
      </c>
      <c r="AC61" s="555" t="str">
        <f t="shared" si="10"/>
        <v>IISDRIEAF-NCIISOIL</v>
      </c>
    </row>
    <row r="62" spans="1:29" ht="15" x14ac:dyDescent="0.25">
      <c r="A62" s="560"/>
      <c r="B62" s="113" t="s">
        <v>541</v>
      </c>
      <c r="D62" s="113" t="s">
        <v>39</v>
      </c>
      <c r="E62" s="113" t="s">
        <v>1376</v>
      </c>
      <c r="F62" s="113" t="s">
        <v>707</v>
      </c>
      <c r="G62" s="113" t="s">
        <v>1101</v>
      </c>
      <c r="H62" s="113" t="s">
        <v>1102</v>
      </c>
      <c r="I62" s="113">
        <v>3</v>
      </c>
      <c r="J62" s="113">
        <v>0.38</v>
      </c>
      <c r="K62" s="559"/>
      <c r="M62" s="555">
        <f t="shared" si="7"/>
        <v>0.38</v>
      </c>
      <c r="O62" s="632">
        <f t="shared" si="9"/>
        <v>0.38</v>
      </c>
      <c r="R62" s="631">
        <f>O62</f>
        <v>0.38</v>
      </c>
      <c r="AC62" s="555" t="str">
        <f t="shared" si="10"/>
        <v>IISDRIEAF-NGIISELC</v>
      </c>
    </row>
    <row r="63" spans="1:29" ht="15" x14ac:dyDescent="0.25">
      <c r="A63" s="560"/>
      <c r="B63" s="113" t="s">
        <v>541</v>
      </c>
      <c r="D63" s="113" t="s">
        <v>592</v>
      </c>
      <c r="E63" s="113" t="s">
        <v>1376</v>
      </c>
      <c r="F63" s="113" t="s">
        <v>707</v>
      </c>
      <c r="G63" s="113" t="s">
        <v>1101</v>
      </c>
      <c r="H63" s="113" t="s">
        <v>1102</v>
      </c>
      <c r="I63" s="113">
        <v>3</v>
      </c>
      <c r="J63" s="113">
        <v>0.61</v>
      </c>
      <c r="K63" s="559"/>
      <c r="M63" s="555">
        <f t="shared" si="7"/>
        <v>0.61</v>
      </c>
      <c r="O63" s="632">
        <f t="shared" si="9"/>
        <v>0.61</v>
      </c>
      <c r="R63" s="631">
        <f>O63</f>
        <v>0.61</v>
      </c>
      <c r="AC63" s="555" t="str">
        <f t="shared" si="10"/>
        <v>IISDRIEAF-NGIISGAS</v>
      </c>
    </row>
    <row r="64" spans="1:29" ht="15" x14ac:dyDescent="0.25">
      <c r="A64" s="560"/>
      <c r="B64" s="449" t="s">
        <v>541</v>
      </c>
      <c r="C64" s="557"/>
      <c r="D64" s="449" t="s">
        <v>1337</v>
      </c>
      <c r="E64" s="449" t="s">
        <v>1376</v>
      </c>
      <c r="F64" s="449" t="s">
        <v>707</v>
      </c>
      <c r="G64" s="449" t="s">
        <v>1101</v>
      </c>
      <c r="H64" s="449" t="s">
        <v>1102</v>
      </c>
      <c r="I64" s="449">
        <v>3</v>
      </c>
      <c r="J64" s="449">
        <v>0.01</v>
      </c>
      <c r="K64" s="559"/>
      <c r="M64" s="557">
        <f t="shared" si="7"/>
        <v>0.01</v>
      </c>
      <c r="N64" s="557"/>
      <c r="O64" s="634">
        <f t="shared" si="9"/>
        <v>0.01</v>
      </c>
      <c r="P64" s="557"/>
      <c r="Q64" s="557"/>
      <c r="R64" s="633">
        <f>O64</f>
        <v>0.01</v>
      </c>
      <c r="AC64" s="555" t="str">
        <f t="shared" si="10"/>
        <v>IISDRIEAF-NGIISOIL</v>
      </c>
    </row>
    <row r="65" spans="1:29" ht="15" x14ac:dyDescent="0.25">
      <c r="A65" s="560"/>
      <c r="B65" s="113" t="s">
        <v>179</v>
      </c>
      <c r="D65" s="113" t="s">
        <v>1348</v>
      </c>
      <c r="E65" s="113" t="s">
        <v>1368</v>
      </c>
      <c r="F65" s="113" t="s">
        <v>707</v>
      </c>
      <c r="G65" s="113" t="s">
        <v>1101</v>
      </c>
      <c r="H65" s="113" t="s">
        <v>1102</v>
      </c>
      <c r="I65" s="113">
        <v>3</v>
      </c>
      <c r="J65" s="113">
        <v>0</v>
      </c>
      <c r="K65" s="559"/>
      <c r="L65" s="631"/>
      <c r="M65" s="555" t="str">
        <f t="shared" ref="M65:M83" si="11">IF(RIGHT(B65,1)="N",J65,"")</f>
        <v/>
      </c>
      <c r="N65" s="555">
        <f>J65</f>
        <v>0</v>
      </c>
      <c r="O65" s="632">
        <f t="shared" si="9"/>
        <v>0</v>
      </c>
      <c r="R65" s="631">
        <v>0</v>
      </c>
      <c r="AC65" s="555" t="str">
        <f t="shared" si="10"/>
        <v>IISOTHEAF-EIISCKC</v>
      </c>
    </row>
    <row r="66" spans="1:29" ht="15" x14ac:dyDescent="0.25">
      <c r="A66" s="560"/>
      <c r="B66" s="113" t="s">
        <v>179</v>
      </c>
      <c r="D66" s="113" t="s">
        <v>40</v>
      </c>
      <c r="E66" s="113" t="s">
        <v>1368</v>
      </c>
      <c r="F66" s="113" t="s">
        <v>707</v>
      </c>
      <c r="G66" s="113" t="s">
        <v>1101</v>
      </c>
      <c r="H66" s="113" t="s">
        <v>1102</v>
      </c>
      <c r="I66" s="113">
        <v>3</v>
      </c>
      <c r="J66" s="113">
        <v>0.45</v>
      </c>
      <c r="K66" s="559"/>
      <c r="L66" s="631">
        <f>IF(OR(H66="LO",H66="FX"),INDEX($E$13:$H$17,MATCH(B66,$L$13:$L$17,0),MATCH(D66,$E$21:$H$21,0)),L65)</f>
        <v>0.55590957104118222</v>
      </c>
      <c r="M66" s="555" t="str">
        <f t="shared" si="11"/>
        <v/>
      </c>
      <c r="O66" s="632">
        <f t="shared" si="9"/>
        <v>0.55590957104118222</v>
      </c>
      <c r="R66" s="631" cm="1">
        <f t="array" ref="R66">IF(H66="LO",INDEX($Z$23:$Z$47,MATCH(AC66,$AD$23:$AD$47,0),0),INDEX($AA$23:$AA$47,MATCH(AC66,$AD$23:$AD$47,0),0))</f>
        <v>0.46615384615384614</v>
      </c>
      <c r="AC66" s="555" t="str">
        <f t="shared" si="10"/>
        <v>IISOTHEAF-EIISCOA</v>
      </c>
    </row>
    <row r="67" spans="1:29" ht="15" x14ac:dyDescent="0.25">
      <c r="A67" s="560"/>
      <c r="B67" s="113" t="s">
        <v>179</v>
      </c>
      <c r="D67" s="113" t="s">
        <v>39</v>
      </c>
      <c r="E67" s="113" t="s">
        <v>1368</v>
      </c>
      <c r="F67" s="113" t="s">
        <v>707</v>
      </c>
      <c r="G67" s="113" t="s">
        <v>1101</v>
      </c>
      <c r="H67" s="113" t="s">
        <v>1102</v>
      </c>
      <c r="I67" s="113">
        <v>3</v>
      </c>
      <c r="J67" s="113">
        <v>0.45</v>
      </c>
      <c r="K67" s="559"/>
      <c r="L67" s="631">
        <f>IF(OR(H67="LO",H67="FX"),INDEX($E$13:$H$17,MATCH(B67,$L$13:$L$17,0),MATCH(D67,$E$21:$H$21,0)),L66)</f>
        <v>0.41320656390097438</v>
      </c>
      <c r="M67" s="555" t="str">
        <f t="shared" si="11"/>
        <v/>
      </c>
      <c r="O67" s="632">
        <f t="shared" si="9"/>
        <v>0.41320656390097438</v>
      </c>
      <c r="R67" s="631" cm="1">
        <f t="array" ref="R67">IF(H67="LO",INDEX($Z$23:$Z$47,MATCH(AC67,$AD$23:$AD$47,0),0),INDEX($AA$23:$AA$47,MATCH(AC67,$AD$23:$AD$47,0),0))</f>
        <v>0.46615384615384614</v>
      </c>
      <c r="AC67" s="555" t="str">
        <f t="shared" si="10"/>
        <v>IISOTHEAF-EIISELC</v>
      </c>
    </row>
    <row r="68" spans="1:29" ht="15" x14ac:dyDescent="0.25">
      <c r="A68" s="560"/>
      <c r="B68" s="113" t="s">
        <v>179</v>
      </c>
      <c r="D68" s="113" t="s">
        <v>592</v>
      </c>
      <c r="E68" s="113" t="s">
        <v>1368</v>
      </c>
      <c r="F68" s="113" t="s">
        <v>707</v>
      </c>
      <c r="G68" s="113" t="s">
        <v>1101</v>
      </c>
      <c r="H68" s="113" t="s">
        <v>1102</v>
      </c>
      <c r="I68" s="113">
        <v>3</v>
      </c>
      <c r="J68" s="113">
        <v>7.4999999999999997E-2</v>
      </c>
      <c r="K68" s="559"/>
      <c r="L68" s="631">
        <f>IF(OR(H68="LO",H68="FX"),INDEX($E$13:$H$17,MATCH(B68,$L$13:$L$17,0),MATCH(D68,$E$21:$H$21,0)),L67)</f>
        <v>3.0883865057843445E-2</v>
      </c>
      <c r="M68" s="555" t="str">
        <f t="shared" si="11"/>
        <v/>
      </c>
      <c r="O68" s="632">
        <f t="shared" si="9"/>
        <v>3.0883865057843445E-2</v>
      </c>
      <c r="R68" s="631" cm="1">
        <f t="array" ref="R68">IF(H68="LO",INDEX($Z$23:$Z$47,MATCH(AC68,$AD$23:$AD$47,0),0),INDEX($AA$23:$AA$47,MATCH(AC68,$AD$23:$AD$47,0),0))</f>
        <v>7.7692307692307686E-2</v>
      </c>
      <c r="AC68" s="555" t="str">
        <f t="shared" si="10"/>
        <v>IISOTHEAF-EIISGAS</v>
      </c>
    </row>
    <row r="69" spans="1:29" ht="15" x14ac:dyDescent="0.25">
      <c r="A69" s="560"/>
      <c r="B69" s="449" t="s">
        <v>179</v>
      </c>
      <c r="C69" s="557"/>
      <c r="D69" s="449" t="s">
        <v>1337</v>
      </c>
      <c r="E69" s="449" t="s">
        <v>1368</v>
      </c>
      <c r="F69" s="449" t="s">
        <v>707</v>
      </c>
      <c r="G69" s="449" t="s">
        <v>1101</v>
      </c>
      <c r="H69" s="449" t="s">
        <v>1102</v>
      </c>
      <c r="I69" s="449">
        <v>3</v>
      </c>
      <c r="J69" s="449">
        <v>2.5000000000000001E-2</v>
      </c>
      <c r="K69" s="559"/>
      <c r="L69" s="631"/>
      <c r="M69" s="557" t="str">
        <f t="shared" si="11"/>
        <v/>
      </c>
      <c r="N69" s="633">
        <f>IF(H69="UP",J69,0)</f>
        <v>0</v>
      </c>
      <c r="O69" s="634">
        <f t="shared" si="9"/>
        <v>0</v>
      </c>
      <c r="P69" s="557"/>
      <c r="Q69" s="557"/>
      <c r="R69" s="633"/>
      <c r="AC69" s="555" t="str">
        <f t="shared" si="10"/>
        <v>IISOTHEAF-EIISOIL</v>
      </c>
    </row>
    <row r="70" spans="1:29" ht="15" x14ac:dyDescent="0.25">
      <c r="A70" s="560"/>
      <c r="B70" s="113" t="s">
        <v>181</v>
      </c>
      <c r="D70" s="113" t="s">
        <v>40</v>
      </c>
      <c r="E70" s="113" t="s">
        <v>1360</v>
      </c>
      <c r="F70" s="113" t="s">
        <v>707</v>
      </c>
      <c r="G70" s="113" t="s">
        <v>1101</v>
      </c>
      <c r="H70" s="113" t="s">
        <v>593</v>
      </c>
      <c r="I70" s="113">
        <v>3</v>
      </c>
      <c r="J70" s="113">
        <v>0.25</v>
      </c>
      <c r="K70" s="559"/>
      <c r="L70" s="631">
        <f>IF(OR(H70="LO",H70="FX"),INDEX($E$13:$H$17,MATCH(B70,$L$13:$L$17,0),MATCH(D70,$E$21:$H$21,0)),L69)</f>
        <v>0.25</v>
      </c>
      <c r="M70" s="555" t="str">
        <f t="shared" si="11"/>
        <v/>
      </c>
      <c r="O70" s="632">
        <f t="shared" si="9"/>
        <v>0.25</v>
      </c>
      <c r="R70" s="631" cm="1">
        <f t="array" ref="R70">IF(H70="LO",INDEX($Z$23:$Z$47,MATCH(AC70,$AD$23:$AD$47,0),0),INDEX($AA$23:$AA$47,MATCH(AC70,$AD$23:$AD$47,0),0))</f>
        <v>0</v>
      </c>
      <c r="AC70" s="555" t="str">
        <f t="shared" si="10"/>
        <v>IISSCREAF-EIISCOA</v>
      </c>
    </row>
    <row r="71" spans="1:29" ht="15" x14ac:dyDescent="0.25">
      <c r="A71" s="560"/>
      <c r="B71" s="113" t="s">
        <v>181</v>
      </c>
      <c r="D71" s="113" t="s">
        <v>40</v>
      </c>
      <c r="E71" s="113" t="s">
        <v>1360</v>
      </c>
      <c r="F71" s="113" t="s">
        <v>707</v>
      </c>
      <c r="G71" s="113" t="s">
        <v>1101</v>
      </c>
      <c r="H71" s="113" t="s">
        <v>594</v>
      </c>
      <c r="I71" s="113">
        <v>3</v>
      </c>
      <c r="J71" s="113">
        <v>0.25</v>
      </c>
      <c r="K71" s="559"/>
      <c r="L71" s="631">
        <f>IF(OR(H71="LO",H71="FX"),INDEX($E$13:$H$17,MATCH(B71,$L$13:$L$17,0),MATCH(D71,$E$21:$H$21,0)),L70)</f>
        <v>0.25</v>
      </c>
      <c r="M71" s="555" t="str">
        <f t="shared" si="11"/>
        <v/>
      </c>
      <c r="O71" s="632">
        <f t="shared" si="9"/>
        <v>0.25</v>
      </c>
      <c r="R71" s="631" cm="1">
        <f t="array" ref="R71">IF(H71="LO",INDEX($Z$23:$Z$47,MATCH(AC71,$AD$23:$AD$47,0),0),INDEX($AA$23:$AA$47,MATCH(AC71,$AD$23:$AD$47,0),0))</f>
        <v>0</v>
      </c>
      <c r="AC71" s="555" t="str">
        <f t="shared" si="10"/>
        <v>IISSCREAF-EIISCOA</v>
      </c>
    </row>
    <row r="72" spans="1:29" ht="15" x14ac:dyDescent="0.25">
      <c r="A72" s="560"/>
      <c r="B72" s="113" t="s">
        <v>181</v>
      </c>
      <c r="D72" s="113" t="s">
        <v>39</v>
      </c>
      <c r="E72" s="113" t="s">
        <v>1360</v>
      </c>
      <c r="F72" s="113" t="s">
        <v>707</v>
      </c>
      <c r="G72" s="113" t="s">
        <v>1101</v>
      </c>
      <c r="H72" s="113" t="s">
        <v>1102</v>
      </c>
      <c r="I72" s="113">
        <v>3</v>
      </c>
      <c r="J72" s="113">
        <v>0.75</v>
      </c>
      <c r="K72" s="559"/>
      <c r="L72" s="631">
        <f>IF(OR(H72="LO",H72="FX"),INDEX($E$13:$H$17,MATCH(B72,$L$13:$L$17,0),MATCH(D72,$E$21:$H$21,0)),L71)</f>
        <v>0.75</v>
      </c>
      <c r="M72" s="555" t="str">
        <f t="shared" si="11"/>
        <v/>
      </c>
      <c r="O72" s="632">
        <f t="shared" si="9"/>
        <v>0.75</v>
      </c>
      <c r="R72" s="631" cm="1">
        <f t="array" ref="R72">IF(H72="LO",INDEX($Z$23:$Z$47,MATCH(AC72,$AD$23:$AD$47,0),0),INDEX($AA$23:$AA$47,MATCH(AC72,$AD$23:$AD$47,0),0))</f>
        <v>0.75232645919226548</v>
      </c>
      <c r="AC72" s="555" t="str">
        <f t="shared" si="10"/>
        <v>IISSCREAF-EIISELC</v>
      </c>
    </row>
    <row r="73" spans="1:29" ht="15" x14ac:dyDescent="0.25">
      <c r="A73" s="560"/>
      <c r="B73" s="113" t="s">
        <v>181</v>
      </c>
      <c r="D73" s="113" t="s">
        <v>592</v>
      </c>
      <c r="E73" s="113" t="s">
        <v>1360</v>
      </c>
      <c r="F73" s="113" t="s">
        <v>707</v>
      </c>
      <c r="G73" s="113" t="s">
        <v>1101</v>
      </c>
      <c r="H73" s="113" t="s">
        <v>593</v>
      </c>
      <c r="I73" s="113">
        <v>3</v>
      </c>
      <c r="J73" s="113">
        <v>0</v>
      </c>
      <c r="K73" s="559"/>
      <c r="L73" s="631">
        <f>IF(OR(H73="LO",H73="FX"),INDEX($E$13:$H$17,MATCH(B73,$L$13:$L$17,0),MATCH(D73,$E$21:$H$21,0)),L72)</f>
        <v>0</v>
      </c>
      <c r="M73" s="555" t="str">
        <f t="shared" si="11"/>
        <v/>
      </c>
      <c r="O73" s="632">
        <f t="shared" si="9"/>
        <v>0</v>
      </c>
      <c r="R73" s="631" cm="1">
        <f t="array" ref="R73">IF(H73="LO",INDEX($Z$23:$Z$47,MATCH(AC73,$AD$23:$AD$47,0),0),INDEX($AA$23:$AA$47,MATCH(AC73,$AD$23:$AD$47,0),0))</f>
        <v>0.12649141802067926</v>
      </c>
      <c r="AC73" s="555" t="str">
        <f t="shared" si="10"/>
        <v>IISSCREAF-EIISGAS</v>
      </c>
    </row>
    <row r="74" spans="1:29" ht="15" x14ac:dyDescent="0.25">
      <c r="A74" s="560"/>
      <c r="B74" s="113" t="s">
        <v>181</v>
      </c>
      <c r="D74" s="113" t="s">
        <v>592</v>
      </c>
      <c r="E74" s="113" t="s">
        <v>1360</v>
      </c>
      <c r="F74" s="113" t="s">
        <v>707</v>
      </c>
      <c r="G74" s="113" t="s">
        <v>1101</v>
      </c>
      <c r="H74" s="113" t="s">
        <v>594</v>
      </c>
      <c r="I74" s="113">
        <v>3</v>
      </c>
      <c r="J74" s="113">
        <v>0</v>
      </c>
      <c r="K74" s="559"/>
      <c r="L74" s="631">
        <f>IF(OR(H74="LO",H74="FX"),INDEX($E$13:$H$17,MATCH(B74,$L$13:$L$17,0),MATCH(D74,$E$21:$H$21,0)),L73)</f>
        <v>0</v>
      </c>
      <c r="M74" s="555" t="str">
        <f t="shared" si="11"/>
        <v/>
      </c>
      <c r="O74" s="632">
        <f t="shared" si="9"/>
        <v>0</v>
      </c>
      <c r="R74" s="631" cm="1">
        <f t="array" ref="R74">IF(H74="LO",INDEX($Z$23:$Z$47,MATCH(AC74,$AD$23:$AD$47,0),0),INDEX($AA$23:$AA$47,MATCH(AC74,$AD$23:$AD$47,0),0))</f>
        <v>0.12775633220088606</v>
      </c>
      <c r="AC74" s="555" t="str">
        <f t="shared" si="10"/>
        <v>IISSCREAF-EIISGAS</v>
      </c>
    </row>
    <row r="75" spans="1:29" ht="15" x14ac:dyDescent="0.25">
      <c r="A75" s="560"/>
      <c r="B75" s="113" t="s">
        <v>181</v>
      </c>
      <c r="D75" s="113" t="s">
        <v>1337</v>
      </c>
      <c r="E75" s="113" t="s">
        <v>1360</v>
      </c>
      <c r="F75" s="113" t="s">
        <v>707</v>
      </c>
      <c r="G75" s="113" t="s">
        <v>1101</v>
      </c>
      <c r="H75" s="113" t="s">
        <v>593</v>
      </c>
      <c r="I75" s="113">
        <v>3</v>
      </c>
      <c r="J75" s="113">
        <v>0</v>
      </c>
      <c r="K75" s="559"/>
      <c r="L75" s="631"/>
      <c r="M75" s="555" t="str">
        <f t="shared" si="11"/>
        <v/>
      </c>
      <c r="N75" s="631">
        <f>IF(H75="UP",J75,0)</f>
        <v>0</v>
      </c>
      <c r="O75" s="632">
        <f t="shared" si="9"/>
        <v>0</v>
      </c>
      <c r="R75" s="631"/>
      <c r="AC75" s="555" t="str">
        <f t="shared" si="10"/>
        <v>IISSCREAF-EIISOIL</v>
      </c>
    </row>
    <row r="76" spans="1:29" ht="15" x14ac:dyDescent="0.25">
      <c r="A76" s="560"/>
      <c r="B76" s="449" t="s">
        <v>181</v>
      </c>
      <c r="C76" s="557"/>
      <c r="D76" s="449" t="s">
        <v>1337</v>
      </c>
      <c r="E76" s="449" t="s">
        <v>1360</v>
      </c>
      <c r="F76" s="449" t="s">
        <v>707</v>
      </c>
      <c r="G76" s="449" t="s">
        <v>1101</v>
      </c>
      <c r="H76" s="449" t="s">
        <v>594</v>
      </c>
      <c r="I76" s="449">
        <v>3</v>
      </c>
      <c r="J76" s="449">
        <v>0</v>
      </c>
      <c r="K76" s="559"/>
      <c r="L76" s="631"/>
      <c r="M76" s="557" t="str">
        <f t="shared" si="11"/>
        <v/>
      </c>
      <c r="N76" s="633">
        <f>IF(H76="UP",J76,0)</f>
        <v>0</v>
      </c>
      <c r="O76" s="634">
        <f t="shared" si="9"/>
        <v>0</v>
      </c>
      <c r="P76" s="557"/>
      <c r="Q76" s="557"/>
      <c r="R76" s="633"/>
      <c r="AC76" s="555" t="str">
        <f t="shared" si="10"/>
        <v>IISSCREAF-EIISOIL</v>
      </c>
    </row>
    <row r="77" spans="1:29" ht="15" x14ac:dyDescent="0.25">
      <c r="A77" s="560"/>
      <c r="B77" s="113" t="s">
        <v>542</v>
      </c>
      <c r="D77" s="113" t="s">
        <v>40</v>
      </c>
      <c r="E77" s="113" t="s">
        <v>1356</v>
      </c>
      <c r="F77" s="113" t="s">
        <v>707</v>
      </c>
      <c r="G77" s="113" t="s">
        <v>1101</v>
      </c>
      <c r="H77" s="113" t="s">
        <v>593</v>
      </c>
      <c r="I77" s="113">
        <v>3</v>
      </c>
      <c r="J77" s="113">
        <v>0.05</v>
      </c>
      <c r="K77" s="559"/>
      <c r="M77" s="555">
        <f t="shared" si="11"/>
        <v>0.05</v>
      </c>
      <c r="O77" s="632">
        <f t="shared" si="9"/>
        <v>0.05</v>
      </c>
      <c r="R77" s="631">
        <f t="shared" ref="R77:R83" si="12">R70</f>
        <v>0</v>
      </c>
      <c r="AC77" s="555" t="str">
        <f t="shared" si="10"/>
        <v>IISSCREAF-NIISCOA</v>
      </c>
    </row>
    <row r="78" spans="1:29" ht="15" x14ac:dyDescent="0.25">
      <c r="A78" s="560"/>
      <c r="B78" s="113" t="s">
        <v>542</v>
      </c>
      <c r="D78" s="113" t="s">
        <v>40</v>
      </c>
      <c r="E78" s="113" t="s">
        <v>1356</v>
      </c>
      <c r="F78" s="113" t="s">
        <v>707</v>
      </c>
      <c r="G78" s="113" t="s">
        <v>1101</v>
      </c>
      <c r="H78" s="113" t="s">
        <v>594</v>
      </c>
      <c r="I78" s="113">
        <v>3</v>
      </c>
      <c r="J78" s="113">
        <v>0.25</v>
      </c>
      <c r="K78" s="559"/>
      <c r="M78" s="555">
        <f t="shared" si="11"/>
        <v>0.25</v>
      </c>
      <c r="O78" s="632">
        <f t="shared" si="9"/>
        <v>0.25</v>
      </c>
      <c r="R78" s="631">
        <f t="shared" si="12"/>
        <v>0</v>
      </c>
      <c r="AC78" s="555" t="str">
        <f t="shared" si="10"/>
        <v>IISSCREAF-NIISCOA</v>
      </c>
    </row>
    <row r="79" spans="1:29" ht="15" x14ac:dyDescent="0.25">
      <c r="A79" s="560"/>
      <c r="B79" s="113" t="s">
        <v>542</v>
      </c>
      <c r="D79" s="113" t="s">
        <v>39</v>
      </c>
      <c r="E79" s="113" t="s">
        <v>1356</v>
      </c>
      <c r="F79" s="113" t="s">
        <v>707</v>
      </c>
      <c r="G79" s="113" t="s">
        <v>1101</v>
      </c>
      <c r="H79" s="113" t="s">
        <v>1102</v>
      </c>
      <c r="I79" s="113">
        <v>3</v>
      </c>
      <c r="J79" s="113">
        <v>0.75</v>
      </c>
      <c r="K79" s="559"/>
      <c r="M79" s="555">
        <f t="shared" si="11"/>
        <v>0.75</v>
      </c>
      <c r="O79" s="632">
        <f t="shared" si="9"/>
        <v>0.75</v>
      </c>
      <c r="R79" s="631">
        <f t="shared" si="12"/>
        <v>0.75232645919226548</v>
      </c>
      <c r="AC79" s="555" t="str">
        <f t="shared" si="10"/>
        <v>IISSCREAF-NIISELC</v>
      </c>
    </row>
    <row r="80" spans="1:29" ht="15" x14ac:dyDescent="0.25">
      <c r="A80" s="560"/>
      <c r="B80" s="113" t="s">
        <v>542</v>
      </c>
      <c r="D80" s="113" t="s">
        <v>592</v>
      </c>
      <c r="E80" s="113" t="s">
        <v>1356</v>
      </c>
      <c r="F80" s="113" t="s">
        <v>707</v>
      </c>
      <c r="G80" s="113" t="s">
        <v>1101</v>
      </c>
      <c r="H80" s="113" t="s">
        <v>593</v>
      </c>
      <c r="I80" s="113">
        <v>3</v>
      </c>
      <c r="J80" s="113">
        <v>0</v>
      </c>
      <c r="K80" s="559"/>
      <c r="M80" s="555">
        <f t="shared" si="11"/>
        <v>0</v>
      </c>
      <c r="O80" s="632">
        <f t="shared" si="9"/>
        <v>0</v>
      </c>
      <c r="R80" s="631">
        <f t="shared" si="12"/>
        <v>0.12649141802067926</v>
      </c>
      <c r="AC80" s="555" t="str">
        <f t="shared" si="10"/>
        <v>IISSCREAF-NIISGAS</v>
      </c>
    </row>
    <row r="81" spans="1:29" ht="15" x14ac:dyDescent="0.25">
      <c r="A81" s="560"/>
      <c r="B81" s="113" t="s">
        <v>542</v>
      </c>
      <c r="D81" s="113" t="s">
        <v>592</v>
      </c>
      <c r="E81" s="113" t="s">
        <v>1356</v>
      </c>
      <c r="F81" s="113" t="s">
        <v>707</v>
      </c>
      <c r="G81" s="113" t="s">
        <v>1101</v>
      </c>
      <c r="H81" s="113" t="s">
        <v>594</v>
      </c>
      <c r="I81" s="113">
        <v>3</v>
      </c>
      <c r="J81" s="113">
        <v>0.2</v>
      </c>
      <c r="K81" s="559"/>
      <c r="M81" s="555">
        <f t="shared" si="11"/>
        <v>0.2</v>
      </c>
      <c r="O81" s="632">
        <f t="shared" si="9"/>
        <v>0.2</v>
      </c>
      <c r="R81" s="631">
        <f t="shared" si="12"/>
        <v>0.12775633220088606</v>
      </c>
      <c r="AC81" s="555" t="str">
        <f t="shared" si="10"/>
        <v>IISSCREAF-NIISGAS</v>
      </c>
    </row>
    <row r="82" spans="1:29" ht="15" x14ac:dyDescent="0.25">
      <c r="A82" s="560"/>
      <c r="B82" s="113" t="s">
        <v>542</v>
      </c>
      <c r="D82" s="113" t="s">
        <v>1337</v>
      </c>
      <c r="E82" s="113" t="s">
        <v>1356</v>
      </c>
      <c r="F82" s="113" t="s">
        <v>707</v>
      </c>
      <c r="G82" s="113" t="s">
        <v>1101</v>
      </c>
      <c r="H82" s="113" t="s">
        <v>593</v>
      </c>
      <c r="I82" s="113">
        <v>3</v>
      </c>
      <c r="J82" s="113">
        <v>0</v>
      </c>
      <c r="K82" s="559"/>
      <c r="M82" s="555">
        <f t="shared" si="11"/>
        <v>0</v>
      </c>
      <c r="O82" s="632">
        <f t="shared" si="9"/>
        <v>0</v>
      </c>
      <c r="R82" s="631">
        <f t="shared" si="12"/>
        <v>0</v>
      </c>
      <c r="AC82" s="555" t="str">
        <f t="shared" si="10"/>
        <v>IISSCREAF-NIISOIL</v>
      </c>
    </row>
    <row r="83" spans="1:29" ht="15" x14ac:dyDescent="0.25">
      <c r="A83" s="560"/>
      <c r="B83" s="113" t="s">
        <v>542</v>
      </c>
      <c r="D83" s="113" t="s">
        <v>1337</v>
      </c>
      <c r="E83" s="113" t="s">
        <v>1356</v>
      </c>
      <c r="F83" s="113" t="s">
        <v>707</v>
      </c>
      <c r="G83" s="113" t="s">
        <v>1101</v>
      </c>
      <c r="H83" s="113" t="s">
        <v>594</v>
      </c>
      <c r="I83" s="113">
        <v>3</v>
      </c>
      <c r="J83" s="113">
        <v>0.2</v>
      </c>
      <c r="K83" s="559"/>
      <c r="M83" s="555">
        <f t="shared" si="11"/>
        <v>0.2</v>
      </c>
      <c r="O83" s="632">
        <f t="shared" si="9"/>
        <v>0.2</v>
      </c>
      <c r="R83" s="631">
        <f t="shared" si="12"/>
        <v>0</v>
      </c>
      <c r="AC83" s="555" t="str">
        <f t="shared" si="10"/>
        <v>IISSCREAF-NIISOIL</v>
      </c>
    </row>
    <row r="84" spans="1:29" x14ac:dyDescent="0.2">
      <c r="A84" s="558"/>
      <c r="B84" s="557"/>
      <c r="C84" s="557"/>
      <c r="D84" s="557"/>
      <c r="E84" s="557"/>
      <c r="F84" s="557"/>
      <c r="G84" s="557"/>
      <c r="H84" s="557"/>
      <c r="I84" s="557"/>
      <c r="J84" s="557"/>
      <c r="K84" s="556"/>
    </row>
    <row r="87" spans="1:29" x14ac:dyDescent="0.2">
      <c r="B87" s="572" t="s">
        <v>1485</v>
      </c>
    </row>
    <row r="88" spans="1:29" x14ac:dyDescent="0.2">
      <c r="A88" s="570"/>
      <c r="B88" s="569"/>
      <c r="C88" s="569"/>
      <c r="D88" s="569"/>
      <c r="E88" s="569"/>
      <c r="F88" s="569"/>
      <c r="G88" s="569"/>
      <c r="H88" s="569"/>
      <c r="I88" s="569"/>
      <c r="J88" s="569"/>
      <c r="K88" s="568"/>
    </row>
    <row r="89" spans="1:29" ht="15" x14ac:dyDescent="0.25">
      <c r="A89" s="560"/>
      <c r="B89" s="113" t="s">
        <v>917</v>
      </c>
      <c r="C89" s="113" t="s">
        <v>170</v>
      </c>
      <c r="D89" s="113">
        <v>2414</v>
      </c>
      <c r="K89" s="559"/>
      <c r="O89" s="555">
        <f t="shared" ref="O89:O109" si="13">D89*$Q$89</f>
        <v>3160.9164837865528</v>
      </c>
      <c r="Q89" s="555">
        <f>zar.2010</f>
        <v>1.3094103081137336</v>
      </c>
      <c r="R89" s="572" t="s">
        <v>1484</v>
      </c>
    </row>
    <row r="90" spans="1:29" ht="15" x14ac:dyDescent="0.25">
      <c r="A90" s="560"/>
      <c r="B90" s="113" t="s">
        <v>917</v>
      </c>
      <c r="C90" s="113" t="s">
        <v>1306</v>
      </c>
      <c r="D90" s="113">
        <v>2414</v>
      </c>
      <c r="K90" s="559"/>
      <c r="O90" s="555">
        <f t="shared" si="13"/>
        <v>3160.9164837865528</v>
      </c>
    </row>
    <row r="91" spans="1:29" ht="15" x14ac:dyDescent="0.25">
      <c r="A91" s="560"/>
      <c r="B91" s="113" t="s">
        <v>917</v>
      </c>
      <c r="C91" s="113" t="s">
        <v>1304</v>
      </c>
      <c r="D91" s="113">
        <v>2414</v>
      </c>
      <c r="K91" s="559"/>
      <c r="O91" s="555">
        <f t="shared" si="13"/>
        <v>3160.9164837865528</v>
      </c>
    </row>
    <row r="92" spans="1:29" ht="15" x14ac:dyDescent="0.25">
      <c r="A92" s="560"/>
      <c r="B92" s="113" t="s">
        <v>917</v>
      </c>
      <c r="C92" s="113" t="s">
        <v>539</v>
      </c>
      <c r="D92" s="113">
        <v>2414</v>
      </c>
      <c r="K92" s="559"/>
      <c r="O92" s="555">
        <f t="shared" si="13"/>
        <v>3160.9164837865528</v>
      </c>
    </row>
    <row r="93" spans="1:29" ht="15" x14ac:dyDescent="0.25">
      <c r="A93" s="560"/>
      <c r="B93" s="113" t="s">
        <v>917</v>
      </c>
      <c r="C93" s="113" t="s">
        <v>172</v>
      </c>
      <c r="D93" s="113">
        <v>3078</v>
      </c>
      <c r="K93" s="559"/>
      <c r="O93" s="555">
        <f t="shared" si="13"/>
        <v>4030.364928374072</v>
      </c>
    </row>
    <row r="94" spans="1:29" ht="15" x14ac:dyDescent="0.25">
      <c r="A94" s="560"/>
      <c r="B94" s="113" t="s">
        <v>917</v>
      </c>
      <c r="C94" s="113" t="s">
        <v>1300</v>
      </c>
      <c r="D94" s="113">
        <v>3078</v>
      </c>
      <c r="K94" s="559"/>
      <c r="O94" s="555">
        <f t="shared" si="13"/>
        <v>4030.364928374072</v>
      </c>
    </row>
    <row r="95" spans="1:29" ht="15" x14ac:dyDescent="0.25">
      <c r="A95" s="560"/>
      <c r="B95" s="113" t="s">
        <v>917</v>
      </c>
      <c r="C95" s="113" t="s">
        <v>1298</v>
      </c>
      <c r="D95" s="113">
        <v>3078</v>
      </c>
      <c r="K95" s="559"/>
      <c r="O95" s="555">
        <f t="shared" si="13"/>
        <v>4030.364928374072</v>
      </c>
    </row>
    <row r="96" spans="1:29" ht="15" x14ac:dyDescent="0.25">
      <c r="A96" s="560"/>
      <c r="B96" s="113" t="s">
        <v>917</v>
      </c>
      <c r="C96" s="113" t="s">
        <v>1296</v>
      </c>
      <c r="D96" s="113">
        <v>46.875</v>
      </c>
      <c r="K96" s="559"/>
      <c r="O96" s="625">
        <f t="shared" si="13"/>
        <v>61.378608192831265</v>
      </c>
    </row>
    <row r="97" spans="1:19" ht="15" x14ac:dyDescent="0.25">
      <c r="A97" s="560"/>
      <c r="B97" s="113" t="s">
        <v>917</v>
      </c>
      <c r="C97" s="113" t="s">
        <v>175</v>
      </c>
      <c r="D97" s="113">
        <v>3078</v>
      </c>
      <c r="K97" s="559"/>
      <c r="O97" s="555">
        <f t="shared" si="13"/>
        <v>4030.364928374072</v>
      </c>
    </row>
    <row r="98" spans="1:19" ht="15" x14ac:dyDescent="0.25">
      <c r="A98" s="560"/>
      <c r="B98" s="113" t="s">
        <v>917</v>
      </c>
      <c r="C98" s="113" t="s">
        <v>1293</v>
      </c>
      <c r="D98" s="113">
        <v>3078</v>
      </c>
      <c r="K98" s="559"/>
      <c r="O98" s="555">
        <f t="shared" si="13"/>
        <v>4030.364928374072</v>
      </c>
    </row>
    <row r="99" spans="1:19" ht="15" x14ac:dyDescent="0.25">
      <c r="A99" s="560"/>
      <c r="B99" s="113" t="s">
        <v>917</v>
      </c>
      <c r="C99" s="113" t="s">
        <v>1291</v>
      </c>
      <c r="D99" s="113">
        <v>3078</v>
      </c>
      <c r="K99" s="559"/>
      <c r="O99" s="555">
        <f t="shared" si="13"/>
        <v>4030.364928374072</v>
      </c>
    </row>
    <row r="100" spans="1:19" ht="15" x14ac:dyDescent="0.25">
      <c r="A100" s="560"/>
      <c r="B100" s="113" t="s">
        <v>917</v>
      </c>
      <c r="C100" s="113" t="s">
        <v>540</v>
      </c>
      <c r="D100" s="113">
        <v>3078</v>
      </c>
      <c r="K100" s="559"/>
      <c r="O100" s="555">
        <f t="shared" si="13"/>
        <v>4030.364928374072</v>
      </c>
    </row>
    <row r="101" spans="1:19" ht="15" x14ac:dyDescent="0.25">
      <c r="A101" s="560"/>
      <c r="B101" s="113" t="s">
        <v>917</v>
      </c>
      <c r="C101" s="113" t="s">
        <v>541</v>
      </c>
      <c r="D101" s="113">
        <v>3613</v>
      </c>
      <c r="K101" s="559"/>
      <c r="O101" s="555">
        <f t="shared" si="13"/>
        <v>4730.8994432149193</v>
      </c>
    </row>
    <row r="102" spans="1:19" ht="15" x14ac:dyDescent="0.25">
      <c r="A102" s="560"/>
      <c r="B102" s="113" t="s">
        <v>917</v>
      </c>
      <c r="C102" s="113" t="s">
        <v>179</v>
      </c>
      <c r="D102" s="113">
        <v>3078</v>
      </c>
      <c r="K102" s="559"/>
      <c r="O102" s="555">
        <f t="shared" si="13"/>
        <v>4030.364928374072</v>
      </c>
    </row>
    <row r="103" spans="1:19" ht="15" x14ac:dyDescent="0.25">
      <c r="A103" s="560"/>
      <c r="B103" s="113" t="s">
        <v>917</v>
      </c>
      <c r="C103" s="113" t="s">
        <v>1286</v>
      </c>
      <c r="D103" s="113">
        <v>3078</v>
      </c>
      <c r="K103" s="559"/>
      <c r="O103" s="555">
        <f t="shared" si="13"/>
        <v>4030.364928374072</v>
      </c>
    </row>
    <row r="104" spans="1:19" ht="15" x14ac:dyDescent="0.25">
      <c r="A104" s="560"/>
      <c r="B104" s="113" t="s">
        <v>917</v>
      </c>
      <c r="C104" s="113" t="s">
        <v>1284</v>
      </c>
      <c r="D104" s="113">
        <v>3078</v>
      </c>
      <c r="K104" s="559"/>
      <c r="O104" s="555">
        <f t="shared" si="13"/>
        <v>4030.364928374072</v>
      </c>
    </row>
    <row r="105" spans="1:19" ht="15" x14ac:dyDescent="0.25">
      <c r="A105" s="560"/>
      <c r="B105" s="113" t="s">
        <v>917</v>
      </c>
      <c r="C105" s="113" t="s">
        <v>181</v>
      </c>
      <c r="D105" s="113">
        <v>3324</v>
      </c>
      <c r="K105" s="559"/>
      <c r="O105" s="555">
        <f t="shared" si="13"/>
        <v>4352.4798641700509</v>
      </c>
    </row>
    <row r="106" spans="1:19" ht="15" x14ac:dyDescent="0.25">
      <c r="A106" s="560"/>
      <c r="B106" s="113" t="s">
        <v>917</v>
      </c>
      <c r="C106" s="113" t="s">
        <v>1281</v>
      </c>
      <c r="D106" s="113">
        <v>3324</v>
      </c>
      <c r="K106" s="559"/>
      <c r="O106" s="555">
        <f t="shared" si="13"/>
        <v>4352.4798641700509</v>
      </c>
    </row>
    <row r="107" spans="1:19" ht="15" x14ac:dyDescent="0.25">
      <c r="A107" s="560"/>
      <c r="B107" s="113" t="s">
        <v>917</v>
      </c>
      <c r="C107" s="113" t="s">
        <v>1279</v>
      </c>
      <c r="D107" s="113">
        <v>3324</v>
      </c>
      <c r="K107" s="559"/>
      <c r="O107" s="555">
        <f t="shared" si="13"/>
        <v>4352.4798641700509</v>
      </c>
    </row>
    <row r="108" spans="1:19" ht="15" x14ac:dyDescent="0.25">
      <c r="A108" s="560"/>
      <c r="B108" s="113" t="s">
        <v>917</v>
      </c>
      <c r="C108" s="113" t="s">
        <v>542</v>
      </c>
      <c r="D108" s="113">
        <v>3324</v>
      </c>
      <c r="K108" s="559"/>
      <c r="O108" s="555">
        <f t="shared" si="13"/>
        <v>4352.4798641700509</v>
      </c>
    </row>
    <row r="109" spans="1:19" ht="15" x14ac:dyDescent="0.25">
      <c r="A109" s="560"/>
      <c r="B109" s="113" t="s">
        <v>917</v>
      </c>
      <c r="C109" s="113" t="s">
        <v>1264</v>
      </c>
      <c r="D109" s="113">
        <v>0</v>
      </c>
      <c r="K109" s="559"/>
      <c r="O109" s="555">
        <f t="shared" si="13"/>
        <v>0</v>
      </c>
      <c r="R109" s="555" t="s">
        <v>1483</v>
      </c>
    </row>
    <row r="110" spans="1:19" x14ac:dyDescent="0.2">
      <c r="A110" s="560"/>
      <c r="K110" s="559"/>
      <c r="R110" s="555">
        <v>15000</v>
      </c>
      <c r="S110" s="555" t="s">
        <v>1482</v>
      </c>
    </row>
    <row r="111" spans="1:19" x14ac:dyDescent="0.2">
      <c r="A111" s="560"/>
      <c r="K111" s="559"/>
    </row>
    <row r="112" spans="1:19" ht="15" x14ac:dyDescent="0.25">
      <c r="A112" s="560"/>
      <c r="B112" s="113" t="s">
        <v>1088</v>
      </c>
      <c r="C112" s="113" t="s">
        <v>1306</v>
      </c>
      <c r="D112" s="113">
        <v>39</v>
      </c>
      <c r="K112" s="559"/>
      <c r="O112" s="555">
        <f t="shared" ref="O112:O125" si="14">D112*$Q$89</f>
        <v>51.067002016435609</v>
      </c>
    </row>
    <row r="113" spans="1:15" ht="15" x14ac:dyDescent="0.25">
      <c r="A113" s="560"/>
      <c r="B113" s="113" t="s">
        <v>1088</v>
      </c>
      <c r="C113" s="113" t="s">
        <v>1304</v>
      </c>
      <c r="D113" s="113">
        <v>395</v>
      </c>
      <c r="K113" s="559"/>
      <c r="O113" s="555">
        <f t="shared" si="14"/>
        <v>517.21707170492482</v>
      </c>
    </row>
    <row r="114" spans="1:15" ht="15" x14ac:dyDescent="0.25">
      <c r="A114" s="560"/>
      <c r="B114" s="113" t="s">
        <v>1088</v>
      </c>
      <c r="C114" s="113" t="s">
        <v>539</v>
      </c>
      <c r="D114" s="113">
        <v>2261</v>
      </c>
      <c r="K114" s="559"/>
      <c r="O114" s="555">
        <f t="shared" si="14"/>
        <v>2960.5767066451517</v>
      </c>
    </row>
    <row r="115" spans="1:15" ht="15" x14ac:dyDescent="0.25">
      <c r="A115" s="560"/>
      <c r="B115" s="113" t="s">
        <v>1088</v>
      </c>
      <c r="C115" s="113" t="s">
        <v>1300</v>
      </c>
      <c r="D115" s="113">
        <v>18</v>
      </c>
      <c r="K115" s="559"/>
      <c r="O115" s="555">
        <f t="shared" si="14"/>
        <v>23.569385546047204</v>
      </c>
    </row>
    <row r="116" spans="1:15" ht="15" x14ac:dyDescent="0.25">
      <c r="A116" s="560"/>
      <c r="B116" s="113" t="s">
        <v>1088</v>
      </c>
      <c r="C116" s="113" t="s">
        <v>1298</v>
      </c>
      <c r="D116" s="113">
        <v>134</v>
      </c>
      <c r="K116" s="559"/>
      <c r="O116" s="555">
        <f t="shared" si="14"/>
        <v>175.46098128724032</v>
      </c>
    </row>
    <row r="117" spans="1:15" ht="15" x14ac:dyDescent="0.25">
      <c r="A117" s="560"/>
      <c r="B117" s="113" t="s">
        <v>1088</v>
      </c>
      <c r="C117" s="113" t="s">
        <v>1293</v>
      </c>
      <c r="D117" s="113">
        <v>31</v>
      </c>
      <c r="K117" s="559"/>
      <c r="O117" s="555">
        <f t="shared" si="14"/>
        <v>40.591719551525742</v>
      </c>
    </row>
    <row r="118" spans="1:15" ht="15" x14ac:dyDescent="0.25">
      <c r="A118" s="560"/>
      <c r="B118" s="113" t="s">
        <v>1088</v>
      </c>
      <c r="C118" s="113" t="s">
        <v>1291</v>
      </c>
      <c r="D118" s="113">
        <v>134</v>
      </c>
      <c r="K118" s="559"/>
      <c r="O118" s="555">
        <f t="shared" si="14"/>
        <v>175.46098128724032</v>
      </c>
    </row>
    <row r="119" spans="1:15" ht="15" x14ac:dyDescent="0.25">
      <c r="A119" s="560"/>
      <c r="B119" s="113" t="s">
        <v>1088</v>
      </c>
      <c r="C119" s="113" t="s">
        <v>540</v>
      </c>
      <c r="D119" s="113">
        <v>2254</v>
      </c>
      <c r="K119" s="559"/>
      <c r="O119" s="555">
        <f t="shared" si="14"/>
        <v>2951.4108344883557</v>
      </c>
    </row>
    <row r="120" spans="1:15" ht="15" x14ac:dyDescent="0.25">
      <c r="A120" s="560"/>
      <c r="B120" s="113" t="s">
        <v>1088</v>
      </c>
      <c r="C120" s="113" t="s">
        <v>541</v>
      </c>
      <c r="D120" s="113">
        <v>1878</v>
      </c>
      <c r="K120" s="559"/>
      <c r="O120" s="555">
        <f t="shared" si="14"/>
        <v>2459.0725586375916</v>
      </c>
    </row>
    <row r="121" spans="1:15" ht="15" x14ac:dyDescent="0.25">
      <c r="A121" s="560"/>
      <c r="B121" s="113" t="s">
        <v>1088</v>
      </c>
      <c r="C121" s="113" t="s">
        <v>1286</v>
      </c>
      <c r="D121" s="113">
        <v>18</v>
      </c>
      <c r="K121" s="559"/>
      <c r="O121" s="555">
        <f t="shared" si="14"/>
        <v>23.569385546047204</v>
      </c>
    </row>
    <row r="122" spans="1:15" ht="15" x14ac:dyDescent="0.25">
      <c r="A122" s="560"/>
      <c r="B122" s="113" t="s">
        <v>1088</v>
      </c>
      <c r="C122" s="113" t="s">
        <v>1284</v>
      </c>
      <c r="D122" s="113">
        <v>134</v>
      </c>
      <c r="K122" s="559"/>
      <c r="O122" s="555">
        <f t="shared" si="14"/>
        <v>175.46098128724032</v>
      </c>
    </row>
    <row r="123" spans="1:15" ht="15" x14ac:dyDescent="0.25">
      <c r="A123" s="560"/>
      <c r="B123" s="113" t="s">
        <v>1088</v>
      </c>
      <c r="C123" s="113" t="s">
        <v>1281</v>
      </c>
      <c r="D123" s="113">
        <v>18</v>
      </c>
      <c r="K123" s="559"/>
      <c r="O123" s="555">
        <f t="shared" si="14"/>
        <v>23.569385546047204</v>
      </c>
    </row>
    <row r="124" spans="1:15" ht="15" x14ac:dyDescent="0.25">
      <c r="A124" s="560"/>
      <c r="B124" s="113" t="s">
        <v>1088</v>
      </c>
      <c r="C124" s="113" t="s">
        <v>1279</v>
      </c>
      <c r="D124" s="113">
        <v>134</v>
      </c>
      <c r="K124" s="559"/>
      <c r="O124" s="555">
        <f t="shared" si="14"/>
        <v>175.46098128724032</v>
      </c>
    </row>
    <row r="125" spans="1:15" ht="15" x14ac:dyDescent="0.25">
      <c r="A125" s="560"/>
      <c r="B125" s="113" t="s">
        <v>1088</v>
      </c>
      <c r="C125" s="113" t="s">
        <v>542</v>
      </c>
      <c r="D125" s="113">
        <v>1384</v>
      </c>
      <c r="K125" s="559"/>
      <c r="O125" s="555">
        <f t="shared" si="14"/>
        <v>1812.2238664294073</v>
      </c>
    </row>
    <row r="126" spans="1:15" ht="15" x14ac:dyDescent="0.25">
      <c r="A126" s="560"/>
      <c r="B126" s="113" t="s">
        <v>1088</v>
      </c>
      <c r="C126" s="113" t="s">
        <v>1276</v>
      </c>
      <c r="D126" s="113">
        <v>1E-4</v>
      </c>
      <c r="K126" s="559"/>
      <c r="O126" s="555">
        <f>D126</f>
        <v>1E-4</v>
      </c>
    </row>
    <row r="127" spans="1:15" ht="15" x14ac:dyDescent="0.25">
      <c r="A127" s="560"/>
      <c r="B127" s="113" t="s">
        <v>1088</v>
      </c>
      <c r="C127" s="113" t="s">
        <v>1270</v>
      </c>
      <c r="D127" s="113">
        <v>1E-4</v>
      </c>
      <c r="K127" s="559"/>
      <c r="O127" s="555">
        <f>D127</f>
        <v>1E-4</v>
      </c>
    </row>
    <row r="128" spans="1:15" ht="15" x14ac:dyDescent="0.25">
      <c r="A128" s="560"/>
      <c r="B128" s="113" t="s">
        <v>1088</v>
      </c>
      <c r="C128" s="113" t="s">
        <v>1268</v>
      </c>
      <c r="D128" s="113">
        <v>1E-4</v>
      </c>
      <c r="K128" s="559"/>
      <c r="O128" s="555">
        <f>D128</f>
        <v>1E-4</v>
      </c>
    </row>
    <row r="129" spans="1:15" ht="15" x14ac:dyDescent="0.25">
      <c r="A129" s="560"/>
      <c r="B129" s="113" t="s">
        <v>1088</v>
      </c>
      <c r="C129" s="113" t="s">
        <v>1266</v>
      </c>
      <c r="D129" s="113">
        <v>1E-4</v>
      </c>
      <c r="K129" s="559"/>
      <c r="O129" s="555">
        <f>D129</f>
        <v>1E-4</v>
      </c>
    </row>
    <row r="130" spans="1:15" ht="15" x14ac:dyDescent="0.25">
      <c r="A130" s="560"/>
      <c r="B130" s="113" t="s">
        <v>1088</v>
      </c>
      <c r="C130" s="113" t="s">
        <v>1262</v>
      </c>
      <c r="D130" s="113">
        <v>1E-4</v>
      </c>
      <c r="K130" s="559"/>
      <c r="O130" s="555">
        <f>D130</f>
        <v>1E-4</v>
      </c>
    </row>
    <row r="131" spans="1:15" x14ac:dyDescent="0.2">
      <c r="A131" s="558"/>
      <c r="B131" s="557"/>
      <c r="C131" s="557"/>
      <c r="D131" s="557"/>
      <c r="E131" s="557"/>
      <c r="F131" s="557"/>
      <c r="G131" s="557"/>
      <c r="H131" s="557"/>
      <c r="I131" s="557"/>
      <c r="J131" s="557"/>
      <c r="K131" s="556"/>
    </row>
    <row r="135" spans="1:15" x14ac:dyDescent="0.2">
      <c r="B135" s="555" t="s">
        <v>1481</v>
      </c>
    </row>
    <row r="136" spans="1:15" x14ac:dyDescent="0.2">
      <c r="B136" s="570"/>
      <c r="C136" s="569"/>
      <c r="D136" s="569"/>
      <c r="E136" s="569"/>
      <c r="F136" s="569"/>
      <c r="G136" s="569"/>
      <c r="H136" s="569"/>
      <c r="I136" s="569"/>
      <c r="J136" s="569"/>
      <c r="K136" s="568"/>
    </row>
    <row r="137" spans="1:15" ht="15" x14ac:dyDescent="0.25">
      <c r="B137" s="630" t="s">
        <v>906</v>
      </c>
      <c r="C137" s="113" t="s">
        <v>539</v>
      </c>
      <c r="D137" s="113" t="s">
        <v>707</v>
      </c>
      <c r="E137" s="113" t="s">
        <v>1386</v>
      </c>
      <c r="F137" s="113" t="s">
        <v>1388</v>
      </c>
      <c r="G137" s="113" t="s">
        <v>1101</v>
      </c>
      <c r="H137" s="113" t="s">
        <v>707</v>
      </c>
      <c r="I137" s="113">
        <v>0</v>
      </c>
      <c r="J137" s="113">
        <v>19.7</v>
      </c>
      <c r="K137" s="559"/>
    </row>
    <row r="138" spans="1:15" ht="15" x14ac:dyDescent="0.25">
      <c r="B138" s="630" t="s">
        <v>906</v>
      </c>
      <c r="C138" s="113" t="s">
        <v>540</v>
      </c>
      <c r="D138" s="113" t="s">
        <v>707</v>
      </c>
      <c r="E138" s="113" t="s">
        <v>1370</v>
      </c>
      <c r="F138" s="113" t="s">
        <v>1372</v>
      </c>
      <c r="G138" s="113" t="s">
        <v>1101</v>
      </c>
      <c r="H138" s="113" t="s">
        <v>707</v>
      </c>
      <c r="I138" s="113">
        <v>0</v>
      </c>
      <c r="J138" s="113">
        <v>20.3</v>
      </c>
      <c r="K138" s="559"/>
    </row>
    <row r="139" spans="1:15" ht="15" x14ac:dyDescent="0.25">
      <c r="B139" s="630" t="s">
        <v>906</v>
      </c>
      <c r="C139" s="113" t="s">
        <v>541</v>
      </c>
      <c r="D139" s="113" t="s">
        <v>707</v>
      </c>
      <c r="E139" s="113" t="s">
        <v>1374</v>
      </c>
      <c r="F139" s="113" t="s">
        <v>1376</v>
      </c>
      <c r="G139" s="113" t="s">
        <v>1101</v>
      </c>
      <c r="H139" s="113" t="s">
        <v>707</v>
      </c>
      <c r="I139" s="113">
        <v>0</v>
      </c>
      <c r="J139" s="113">
        <v>14.6</v>
      </c>
      <c r="K139" s="559"/>
    </row>
    <row r="140" spans="1:15" ht="15" x14ac:dyDescent="0.25">
      <c r="B140" s="630" t="s">
        <v>906</v>
      </c>
      <c r="C140" s="113" t="s">
        <v>542</v>
      </c>
      <c r="D140" s="113" t="s">
        <v>707</v>
      </c>
      <c r="E140" s="113" t="s">
        <v>1354</v>
      </c>
      <c r="F140" s="113" t="s">
        <v>1356</v>
      </c>
      <c r="G140" s="113" t="s">
        <v>1101</v>
      </c>
      <c r="H140" s="113" t="s">
        <v>707</v>
      </c>
      <c r="I140" s="113">
        <v>0</v>
      </c>
      <c r="J140" s="113">
        <v>6.6</v>
      </c>
      <c r="K140" s="559"/>
    </row>
    <row r="141" spans="1:15" x14ac:dyDescent="0.2">
      <c r="B141" s="560"/>
      <c r="K141" s="559"/>
    </row>
    <row r="142" spans="1:15" x14ac:dyDescent="0.2">
      <c r="B142" s="560"/>
      <c r="K142" s="559"/>
    </row>
    <row r="143" spans="1:15" x14ac:dyDescent="0.2">
      <c r="B143" s="560"/>
      <c r="K143" s="559"/>
    </row>
    <row r="144" spans="1:15" x14ac:dyDescent="0.2">
      <c r="B144" s="560"/>
      <c r="K144" s="559"/>
    </row>
    <row r="145" spans="2:11" x14ac:dyDescent="0.2">
      <c r="B145" s="558"/>
      <c r="C145" s="557"/>
      <c r="D145" s="557"/>
      <c r="E145" s="557"/>
      <c r="F145" s="557"/>
      <c r="G145" s="557"/>
      <c r="H145" s="557"/>
      <c r="I145" s="557"/>
      <c r="J145" s="557"/>
      <c r="K145" s="556"/>
    </row>
    <row r="150" spans="2:11" x14ac:dyDescent="0.2">
      <c r="B150" s="555" t="s">
        <v>1480</v>
      </c>
      <c r="D150" s="555">
        <v>-0.3</v>
      </c>
      <c r="E150" s="572" t="s">
        <v>1479</v>
      </c>
    </row>
    <row r="151" spans="2:11" x14ac:dyDescent="0.2">
      <c r="E151" s="572"/>
    </row>
    <row r="154" spans="2:11" ht="15" x14ac:dyDescent="0.2">
      <c r="D154" s="627"/>
      <c r="E154" s="627"/>
      <c r="F154" s="629">
        <v>2010</v>
      </c>
      <c r="G154" s="629">
        <v>2015</v>
      </c>
      <c r="H154" s="629">
        <v>2020</v>
      </c>
      <c r="I154" s="629">
        <v>2030</v>
      </c>
      <c r="J154" s="629">
        <v>2040</v>
      </c>
      <c r="K154" s="629">
        <v>2050</v>
      </c>
    </row>
    <row r="155" spans="2:11" ht="15" x14ac:dyDescent="0.2">
      <c r="D155" s="627" t="s">
        <v>1478</v>
      </c>
      <c r="E155" s="628" t="s">
        <v>1470</v>
      </c>
      <c r="F155" s="627" t="s">
        <v>1477</v>
      </c>
      <c r="G155" s="627" t="s">
        <v>1476</v>
      </c>
      <c r="H155" s="627" t="s">
        <v>1475</v>
      </c>
      <c r="I155" s="627" t="s">
        <v>1474</v>
      </c>
      <c r="J155" s="627" t="s">
        <v>1473</v>
      </c>
      <c r="K155" s="627" t="s">
        <v>1472</v>
      </c>
    </row>
    <row r="156" spans="2:11" ht="15" x14ac:dyDescent="0.2">
      <c r="D156" s="627" t="s">
        <v>1471</v>
      </c>
      <c r="E156" s="628" t="s">
        <v>1470</v>
      </c>
      <c r="F156" s="627" t="s">
        <v>1469</v>
      </c>
      <c r="G156" s="627" t="s">
        <v>1468</v>
      </c>
      <c r="H156" s="627" t="s">
        <v>1467</v>
      </c>
      <c r="I156" s="627" t="s">
        <v>1466</v>
      </c>
      <c r="J156" s="627" t="s">
        <v>1465</v>
      </c>
      <c r="K156" s="627" t="s">
        <v>1464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3D194-0333-4B5E-AFD5-C83FA0F312BE}">
  <sheetPr>
    <tabColor theme="1" tint="0.34998626667073579"/>
  </sheetPr>
  <dimension ref="A1:AZ166"/>
  <sheetViews>
    <sheetView topLeftCell="A139" workbookViewId="0">
      <selection activeCell="R155" sqref="R155"/>
    </sheetView>
  </sheetViews>
  <sheetFormatPr defaultRowHeight="15" x14ac:dyDescent="0.25"/>
  <cols>
    <col min="1" max="1" width="16.42578125" customWidth="1"/>
    <col min="2" max="2" width="13.7109375" customWidth="1"/>
    <col min="3" max="3" width="12.85546875" customWidth="1"/>
  </cols>
  <sheetData>
    <row r="1" spans="1:52" x14ac:dyDescent="0.25">
      <c r="D1" s="136">
        <v>2012</v>
      </c>
      <c r="E1" s="136">
        <v>2013</v>
      </c>
      <c r="F1" s="136">
        <v>2014</v>
      </c>
      <c r="G1" s="136">
        <v>2015</v>
      </c>
      <c r="H1" s="136">
        <v>2016</v>
      </c>
      <c r="I1" s="136">
        <v>2017</v>
      </c>
      <c r="J1" s="136">
        <v>2018</v>
      </c>
      <c r="K1" s="136">
        <v>2019</v>
      </c>
      <c r="L1" s="136">
        <v>2020</v>
      </c>
      <c r="M1" s="136">
        <v>2021</v>
      </c>
      <c r="N1" s="136">
        <v>2022</v>
      </c>
      <c r="O1" s="136">
        <v>2023</v>
      </c>
      <c r="P1" s="136">
        <v>2024</v>
      </c>
      <c r="Q1" s="136">
        <v>2025</v>
      </c>
      <c r="R1" s="136">
        <v>2026</v>
      </c>
      <c r="S1" s="136">
        <v>2027</v>
      </c>
      <c r="T1" s="136">
        <v>2028</v>
      </c>
      <c r="U1" s="136">
        <v>2029</v>
      </c>
      <c r="V1" s="136">
        <v>2030</v>
      </c>
      <c r="W1" s="136">
        <v>2031</v>
      </c>
      <c r="X1" s="136">
        <v>2032</v>
      </c>
      <c r="Y1" s="136">
        <v>2033</v>
      </c>
      <c r="Z1" s="136">
        <v>2034</v>
      </c>
      <c r="AA1" s="136">
        <v>2035</v>
      </c>
      <c r="AB1" s="136">
        <v>2036</v>
      </c>
      <c r="AC1" s="136">
        <v>2037</v>
      </c>
      <c r="AD1" s="136">
        <v>2038</v>
      </c>
      <c r="AE1" s="136">
        <v>2039</v>
      </c>
      <c r="AF1" s="136">
        <v>2040</v>
      </c>
      <c r="AG1" s="136">
        <v>2041</v>
      </c>
      <c r="AH1" s="136">
        <v>2042</v>
      </c>
      <c r="AI1" s="136">
        <v>2043</v>
      </c>
      <c r="AJ1" s="136">
        <v>2044</v>
      </c>
      <c r="AK1" s="136">
        <v>2045</v>
      </c>
      <c r="AL1" s="136">
        <v>2046</v>
      </c>
      <c r="AM1" s="136">
        <v>2047</v>
      </c>
      <c r="AN1" s="136">
        <v>2048</v>
      </c>
      <c r="AO1" s="136">
        <v>2049</v>
      </c>
      <c r="AP1" s="136">
        <v>2050</v>
      </c>
      <c r="AQ1" s="136">
        <v>2051</v>
      </c>
      <c r="AR1" s="136">
        <v>2052</v>
      </c>
      <c r="AS1" s="136">
        <v>2053</v>
      </c>
      <c r="AT1" s="136">
        <v>2054</v>
      </c>
      <c r="AU1" s="136">
        <v>2055</v>
      </c>
      <c r="AV1" s="136">
        <v>2056</v>
      </c>
      <c r="AW1" s="136">
        <v>2057</v>
      </c>
      <c r="AX1" s="136">
        <v>2058</v>
      </c>
      <c r="AY1" s="136">
        <v>2059</v>
      </c>
      <c r="AZ1" s="136">
        <v>2060</v>
      </c>
    </row>
    <row r="4" spans="1:52" x14ac:dyDescent="0.25">
      <c r="A4" s="136" t="s">
        <v>525</v>
      </c>
    </row>
    <row r="5" spans="1:52" x14ac:dyDescent="0.25">
      <c r="B5" s="136" t="s">
        <v>7</v>
      </c>
      <c r="D5">
        <f>'I&amp;S capacity + production'!M26</f>
        <v>4.9000000000000004</v>
      </c>
      <c r="E5">
        <f>'I&amp;S capacity + production'!N26</f>
        <v>4.9000000000000004</v>
      </c>
      <c r="F5">
        <f>'I&amp;S capacity + production'!O26</f>
        <v>4.9000000000000004</v>
      </c>
      <c r="G5">
        <f>'I&amp;S capacity + production'!P26</f>
        <v>4.9000000000000004</v>
      </c>
      <c r="H5">
        <f>'I&amp;S capacity + production'!Q26</f>
        <v>4.9000000000000004</v>
      </c>
      <c r="I5">
        <f>'I&amp;S capacity + production'!R26</f>
        <v>4.9000000000000004</v>
      </c>
      <c r="J5">
        <f>'I&amp;S capacity + production'!S26</f>
        <v>4.9000000000000004</v>
      </c>
      <c r="K5">
        <f>'I&amp;S capacity + production'!T26</f>
        <v>4.9000000000000004</v>
      </c>
      <c r="L5">
        <f>'I&amp;S capacity + production'!U26</f>
        <v>4.9000000000000004</v>
      </c>
    </row>
    <row r="6" spans="1:52" x14ac:dyDescent="0.25">
      <c r="B6" s="136" t="s">
        <v>173</v>
      </c>
      <c r="D6">
        <f>'I&amp;S capacity + production'!M27</f>
        <v>1.2400000000000002</v>
      </c>
      <c r="E6">
        <f>'I&amp;S capacity + production'!N27</f>
        <v>1.2400000000000002</v>
      </c>
      <c r="F6">
        <f>'I&amp;S capacity + production'!O27</f>
        <v>1.2400000000000002</v>
      </c>
      <c r="G6">
        <f>'I&amp;S capacity + production'!P27</f>
        <v>1.2400000000000002</v>
      </c>
      <c r="H6">
        <f>'I&amp;S capacity + production'!Q27</f>
        <v>1.2400000000000002</v>
      </c>
      <c r="I6">
        <f>'I&amp;S capacity + production'!R27</f>
        <v>1.2400000000000002</v>
      </c>
      <c r="J6">
        <f>'I&amp;S capacity + production'!S27</f>
        <v>1.2400000000000002</v>
      </c>
      <c r="K6">
        <f>'I&amp;S capacity + production'!T27</f>
        <v>1.2400000000000002</v>
      </c>
      <c r="L6">
        <f>'I&amp;S capacity + production'!U27</f>
        <v>1.2400000000000002</v>
      </c>
    </row>
    <row r="7" spans="1:52" x14ac:dyDescent="0.25">
      <c r="B7" s="136" t="s">
        <v>9</v>
      </c>
      <c r="D7">
        <f>'I&amp;S capacity + production'!M28</f>
        <v>1.44</v>
      </c>
      <c r="E7">
        <f>'I&amp;S capacity + production'!N28</f>
        <v>1.44</v>
      </c>
      <c r="F7">
        <f>'I&amp;S capacity + production'!O28</f>
        <v>1.44</v>
      </c>
      <c r="G7">
        <f>'I&amp;S capacity + production'!P28</f>
        <v>1.44</v>
      </c>
      <c r="H7">
        <f>'I&amp;S capacity + production'!Q28</f>
        <v>1.44</v>
      </c>
      <c r="I7">
        <f>'I&amp;S capacity + production'!R28</f>
        <v>1.44</v>
      </c>
      <c r="J7">
        <f>'I&amp;S capacity + production'!S28</f>
        <v>1.44</v>
      </c>
      <c r="K7">
        <f>'I&amp;S capacity + production'!T28</f>
        <v>1.44</v>
      </c>
      <c r="L7">
        <f>'I&amp;S capacity + production'!U28</f>
        <v>1.44</v>
      </c>
    </row>
    <row r="8" spans="1:52" x14ac:dyDescent="0.25">
      <c r="B8" s="136" t="s">
        <v>10</v>
      </c>
      <c r="D8">
        <f>'I&amp;S capacity + production'!M29</f>
        <v>1</v>
      </c>
      <c r="E8">
        <f>'I&amp;S capacity + production'!N29</f>
        <v>1</v>
      </c>
      <c r="F8">
        <f>'I&amp;S capacity + production'!O29</f>
        <v>1</v>
      </c>
      <c r="G8">
        <f>'I&amp;S capacity + production'!P29</f>
        <v>1</v>
      </c>
      <c r="H8">
        <f>'I&amp;S capacity + production'!Q29</f>
        <v>1</v>
      </c>
      <c r="I8">
        <f>'I&amp;S capacity + production'!R29</f>
        <v>1</v>
      </c>
      <c r="J8">
        <f>'I&amp;S capacity + production'!S29</f>
        <v>1</v>
      </c>
      <c r="K8">
        <f>'I&amp;S capacity + production'!T29</f>
        <v>1</v>
      </c>
      <c r="L8">
        <f>'I&amp;S capacity + production'!U29</f>
        <v>1</v>
      </c>
    </row>
    <row r="9" spans="1:52" x14ac:dyDescent="0.25">
      <c r="B9" s="136" t="s">
        <v>8</v>
      </c>
      <c r="D9">
        <f>'I&amp;S capacity + production'!M30</f>
        <v>1.7200000000000002</v>
      </c>
      <c r="E9">
        <f>'I&amp;S capacity + production'!N30</f>
        <v>1.7200000000000002</v>
      </c>
      <c r="F9">
        <f>'I&amp;S capacity + production'!O30</f>
        <v>1.7200000000000002</v>
      </c>
      <c r="G9">
        <f>'I&amp;S capacity + production'!P30</f>
        <v>1.7200000000000002</v>
      </c>
      <c r="H9">
        <f>'I&amp;S capacity + production'!Q30</f>
        <v>1.7200000000000002</v>
      </c>
      <c r="I9">
        <f>'I&amp;S capacity + production'!R30</f>
        <v>1.7200000000000002</v>
      </c>
      <c r="J9">
        <f>'I&amp;S capacity + production'!S30</f>
        <v>1.7200000000000002</v>
      </c>
      <c r="K9">
        <f>'I&amp;S capacity + production'!T30</f>
        <v>1.7200000000000002</v>
      </c>
      <c r="L9">
        <f>'I&amp;S capacity + production'!U30</f>
        <v>1.7200000000000002</v>
      </c>
    </row>
    <row r="10" spans="1:52" x14ac:dyDescent="0.25">
      <c r="B10" s="136" t="s">
        <v>504</v>
      </c>
      <c r="D10" s="136">
        <f>SUM(D5:D9)</f>
        <v>10.3</v>
      </c>
      <c r="E10" s="136">
        <f t="shared" ref="E10:L10" si="0">SUM(E5:E9)</f>
        <v>10.3</v>
      </c>
      <c r="F10" s="136">
        <f t="shared" si="0"/>
        <v>10.3</v>
      </c>
      <c r="G10" s="136">
        <f t="shared" si="0"/>
        <v>10.3</v>
      </c>
      <c r="H10" s="136">
        <f t="shared" si="0"/>
        <v>10.3</v>
      </c>
      <c r="I10" s="136">
        <f t="shared" si="0"/>
        <v>10.3</v>
      </c>
      <c r="J10" s="136">
        <f t="shared" si="0"/>
        <v>10.3</v>
      </c>
      <c r="K10" s="136">
        <f t="shared" si="0"/>
        <v>10.3</v>
      </c>
      <c r="L10" s="136">
        <f t="shared" si="0"/>
        <v>10.3</v>
      </c>
    </row>
    <row r="11" spans="1:52" x14ac:dyDescent="0.25">
      <c r="A11" s="136" t="s">
        <v>526</v>
      </c>
      <c r="B11" s="136"/>
      <c r="C11" s="413" t="s">
        <v>763</v>
      </c>
      <c r="M11" s="136" t="s">
        <v>527</v>
      </c>
    </row>
    <row r="12" spans="1:52" x14ac:dyDescent="0.25">
      <c r="B12" s="136" t="s">
        <v>7</v>
      </c>
      <c r="C12" s="350">
        <f>C133</f>
        <v>2034</v>
      </c>
      <c r="D12">
        <f>D5</f>
        <v>4.9000000000000004</v>
      </c>
      <c r="E12">
        <f t="shared" ref="E12:L12" si="1">E5</f>
        <v>4.9000000000000004</v>
      </c>
      <c r="F12">
        <f t="shared" si="1"/>
        <v>4.9000000000000004</v>
      </c>
      <c r="G12">
        <f t="shared" si="1"/>
        <v>4.9000000000000004</v>
      </c>
      <c r="H12">
        <f t="shared" si="1"/>
        <v>4.9000000000000004</v>
      </c>
      <c r="I12">
        <f t="shared" si="1"/>
        <v>4.9000000000000004</v>
      </c>
      <c r="J12">
        <f t="shared" si="1"/>
        <v>4.9000000000000004</v>
      </c>
      <c r="K12">
        <f t="shared" si="1"/>
        <v>4.9000000000000004</v>
      </c>
      <c r="L12">
        <f t="shared" si="1"/>
        <v>4.9000000000000004</v>
      </c>
      <c r="M12">
        <f>IF(M$1&lt;$C12,L12,0)</f>
        <v>4.9000000000000004</v>
      </c>
      <c r="N12">
        <f t="shared" ref="N12:AZ16" si="2">IF(N$1&lt;$C12,M12,0)</f>
        <v>4.9000000000000004</v>
      </c>
      <c r="O12">
        <f t="shared" si="2"/>
        <v>4.9000000000000004</v>
      </c>
      <c r="P12">
        <f t="shared" si="2"/>
        <v>4.9000000000000004</v>
      </c>
      <c r="Q12">
        <f t="shared" si="2"/>
        <v>4.9000000000000004</v>
      </c>
      <c r="R12">
        <f t="shared" si="2"/>
        <v>4.9000000000000004</v>
      </c>
      <c r="S12">
        <f t="shared" si="2"/>
        <v>4.9000000000000004</v>
      </c>
      <c r="T12">
        <f t="shared" si="2"/>
        <v>4.9000000000000004</v>
      </c>
      <c r="U12">
        <f t="shared" si="2"/>
        <v>4.9000000000000004</v>
      </c>
      <c r="V12">
        <f t="shared" si="2"/>
        <v>4.9000000000000004</v>
      </c>
      <c r="W12">
        <f t="shared" si="2"/>
        <v>4.9000000000000004</v>
      </c>
      <c r="X12">
        <f t="shared" si="2"/>
        <v>4.9000000000000004</v>
      </c>
      <c r="Y12">
        <f t="shared" si="2"/>
        <v>4.9000000000000004</v>
      </c>
      <c r="Z12">
        <f t="shared" si="2"/>
        <v>0</v>
      </c>
      <c r="AA12">
        <f t="shared" si="2"/>
        <v>0</v>
      </c>
      <c r="AB12">
        <f t="shared" si="2"/>
        <v>0</v>
      </c>
      <c r="AC12">
        <f t="shared" si="2"/>
        <v>0</v>
      </c>
      <c r="AD12">
        <f t="shared" si="2"/>
        <v>0</v>
      </c>
      <c r="AE12">
        <f t="shared" si="2"/>
        <v>0</v>
      </c>
      <c r="AF12">
        <f t="shared" si="2"/>
        <v>0</v>
      </c>
      <c r="AG12">
        <f t="shared" si="2"/>
        <v>0</v>
      </c>
      <c r="AH12">
        <f t="shared" si="2"/>
        <v>0</v>
      </c>
      <c r="AI12">
        <f t="shared" si="2"/>
        <v>0</v>
      </c>
      <c r="AJ12">
        <f t="shared" si="2"/>
        <v>0</v>
      </c>
      <c r="AK12">
        <f t="shared" si="2"/>
        <v>0</v>
      </c>
      <c r="AL12">
        <f t="shared" si="2"/>
        <v>0</v>
      </c>
      <c r="AM12">
        <f t="shared" si="2"/>
        <v>0</v>
      </c>
      <c r="AN12">
        <f t="shared" si="2"/>
        <v>0</v>
      </c>
      <c r="AO12">
        <f t="shared" si="2"/>
        <v>0</v>
      </c>
      <c r="AP12">
        <f t="shared" si="2"/>
        <v>0</v>
      </c>
      <c r="AQ12">
        <f t="shared" si="2"/>
        <v>0</v>
      </c>
      <c r="AR12">
        <f t="shared" si="2"/>
        <v>0</v>
      </c>
      <c r="AS12">
        <f t="shared" si="2"/>
        <v>0</v>
      </c>
      <c r="AT12">
        <f t="shared" si="2"/>
        <v>0</v>
      </c>
      <c r="AU12">
        <f t="shared" si="2"/>
        <v>0</v>
      </c>
      <c r="AV12">
        <f t="shared" si="2"/>
        <v>0</v>
      </c>
      <c r="AW12">
        <f t="shared" si="2"/>
        <v>0</v>
      </c>
      <c r="AX12">
        <f t="shared" si="2"/>
        <v>0</v>
      </c>
      <c r="AY12">
        <f t="shared" si="2"/>
        <v>0</v>
      </c>
      <c r="AZ12">
        <f t="shared" si="2"/>
        <v>0</v>
      </c>
    </row>
    <row r="13" spans="1:52" x14ac:dyDescent="0.25">
      <c r="B13" s="136" t="s">
        <v>173</v>
      </c>
      <c r="C13" s="350">
        <f>C12</f>
        <v>2034</v>
      </c>
      <c r="D13">
        <f t="shared" ref="D13:L13" si="3">D6</f>
        <v>1.2400000000000002</v>
      </c>
      <c r="E13">
        <f t="shared" si="3"/>
        <v>1.2400000000000002</v>
      </c>
      <c r="F13">
        <f t="shared" si="3"/>
        <v>1.2400000000000002</v>
      </c>
      <c r="G13">
        <f t="shared" si="3"/>
        <v>1.2400000000000002</v>
      </c>
      <c r="H13">
        <f t="shared" si="3"/>
        <v>1.2400000000000002</v>
      </c>
      <c r="I13">
        <f t="shared" si="3"/>
        <v>1.2400000000000002</v>
      </c>
      <c r="J13">
        <f t="shared" si="3"/>
        <v>1.2400000000000002</v>
      </c>
      <c r="K13">
        <f t="shared" si="3"/>
        <v>1.2400000000000002</v>
      </c>
      <c r="L13">
        <f t="shared" si="3"/>
        <v>1.2400000000000002</v>
      </c>
      <c r="M13">
        <f>IF(M$1&lt;$C13,L13,0)</f>
        <v>1.2400000000000002</v>
      </c>
      <c r="N13">
        <f t="shared" ref="N13:AB13" si="4">IF(N$1&lt;$C13,M13,0)</f>
        <v>1.2400000000000002</v>
      </c>
      <c r="O13">
        <f t="shared" si="4"/>
        <v>1.2400000000000002</v>
      </c>
      <c r="P13">
        <f t="shared" si="4"/>
        <v>1.2400000000000002</v>
      </c>
      <c r="Q13">
        <f t="shared" si="4"/>
        <v>1.2400000000000002</v>
      </c>
      <c r="R13">
        <f t="shared" si="4"/>
        <v>1.2400000000000002</v>
      </c>
      <c r="S13">
        <f t="shared" si="4"/>
        <v>1.2400000000000002</v>
      </c>
      <c r="T13">
        <f t="shared" si="4"/>
        <v>1.2400000000000002</v>
      </c>
      <c r="U13">
        <f t="shared" si="4"/>
        <v>1.2400000000000002</v>
      </c>
      <c r="V13">
        <f t="shared" si="4"/>
        <v>1.2400000000000002</v>
      </c>
      <c r="W13">
        <f t="shared" si="4"/>
        <v>1.2400000000000002</v>
      </c>
      <c r="X13">
        <f t="shared" si="4"/>
        <v>1.2400000000000002</v>
      </c>
      <c r="Y13">
        <f t="shared" si="4"/>
        <v>1.2400000000000002</v>
      </c>
      <c r="Z13">
        <f t="shared" si="4"/>
        <v>0</v>
      </c>
      <c r="AA13">
        <f t="shared" si="4"/>
        <v>0</v>
      </c>
      <c r="AB13">
        <f t="shared" si="4"/>
        <v>0</v>
      </c>
      <c r="AC13">
        <f t="shared" si="2"/>
        <v>0</v>
      </c>
      <c r="AD13">
        <f t="shared" si="2"/>
        <v>0</v>
      </c>
      <c r="AE13">
        <f t="shared" si="2"/>
        <v>0</v>
      </c>
      <c r="AF13">
        <f t="shared" si="2"/>
        <v>0</v>
      </c>
      <c r="AG13">
        <f t="shared" si="2"/>
        <v>0</v>
      </c>
      <c r="AH13">
        <f t="shared" si="2"/>
        <v>0</v>
      </c>
      <c r="AI13">
        <f t="shared" si="2"/>
        <v>0</v>
      </c>
      <c r="AJ13">
        <f t="shared" si="2"/>
        <v>0</v>
      </c>
      <c r="AK13">
        <f t="shared" si="2"/>
        <v>0</v>
      </c>
      <c r="AL13">
        <f t="shared" si="2"/>
        <v>0</v>
      </c>
      <c r="AM13">
        <f t="shared" si="2"/>
        <v>0</v>
      </c>
      <c r="AN13">
        <f t="shared" si="2"/>
        <v>0</v>
      </c>
      <c r="AO13">
        <f t="shared" si="2"/>
        <v>0</v>
      </c>
      <c r="AP13">
        <f t="shared" si="2"/>
        <v>0</v>
      </c>
      <c r="AQ13">
        <f t="shared" si="2"/>
        <v>0</v>
      </c>
      <c r="AR13">
        <f t="shared" si="2"/>
        <v>0</v>
      </c>
      <c r="AS13">
        <f t="shared" si="2"/>
        <v>0</v>
      </c>
      <c r="AT13">
        <f t="shared" si="2"/>
        <v>0</v>
      </c>
      <c r="AU13">
        <f t="shared" si="2"/>
        <v>0</v>
      </c>
      <c r="AV13">
        <f t="shared" si="2"/>
        <v>0</v>
      </c>
      <c r="AW13">
        <f t="shared" si="2"/>
        <v>0</v>
      </c>
      <c r="AX13">
        <f t="shared" si="2"/>
        <v>0</v>
      </c>
      <c r="AY13">
        <f t="shared" si="2"/>
        <v>0</v>
      </c>
      <c r="AZ13">
        <f t="shared" si="2"/>
        <v>0</v>
      </c>
    </row>
    <row r="14" spans="1:52" x14ac:dyDescent="0.25">
      <c r="B14" s="136" t="s">
        <v>9</v>
      </c>
      <c r="C14" s="350">
        <f>C12</f>
        <v>2034</v>
      </c>
      <c r="D14">
        <f t="shared" ref="D14:L14" si="5">D7</f>
        <v>1.44</v>
      </c>
      <c r="E14">
        <f t="shared" si="5"/>
        <v>1.44</v>
      </c>
      <c r="F14">
        <f t="shared" si="5"/>
        <v>1.44</v>
      </c>
      <c r="G14">
        <f t="shared" si="5"/>
        <v>1.44</v>
      </c>
      <c r="H14">
        <f t="shared" si="5"/>
        <v>1.44</v>
      </c>
      <c r="I14">
        <f t="shared" si="5"/>
        <v>1.44</v>
      </c>
      <c r="J14">
        <f t="shared" si="5"/>
        <v>1.44</v>
      </c>
      <c r="K14">
        <f t="shared" si="5"/>
        <v>1.44</v>
      </c>
      <c r="L14">
        <f t="shared" si="5"/>
        <v>1.44</v>
      </c>
      <c r="M14">
        <f>IF(M$1&lt;$C14,L14,0)</f>
        <v>1.44</v>
      </c>
      <c r="N14">
        <f t="shared" si="2"/>
        <v>1.44</v>
      </c>
      <c r="O14">
        <f t="shared" si="2"/>
        <v>1.44</v>
      </c>
      <c r="P14">
        <f t="shared" si="2"/>
        <v>1.44</v>
      </c>
      <c r="Q14">
        <f t="shared" si="2"/>
        <v>1.44</v>
      </c>
      <c r="R14">
        <f t="shared" si="2"/>
        <v>1.44</v>
      </c>
      <c r="S14">
        <f t="shared" si="2"/>
        <v>1.44</v>
      </c>
      <c r="T14">
        <f t="shared" si="2"/>
        <v>1.44</v>
      </c>
      <c r="U14">
        <f t="shared" si="2"/>
        <v>1.44</v>
      </c>
      <c r="V14">
        <f t="shared" si="2"/>
        <v>1.44</v>
      </c>
      <c r="W14">
        <f t="shared" si="2"/>
        <v>1.44</v>
      </c>
      <c r="X14">
        <f t="shared" si="2"/>
        <v>1.44</v>
      </c>
      <c r="Y14">
        <f t="shared" si="2"/>
        <v>1.44</v>
      </c>
      <c r="Z14">
        <f t="shared" si="2"/>
        <v>0</v>
      </c>
      <c r="AA14">
        <f t="shared" si="2"/>
        <v>0</v>
      </c>
      <c r="AB14">
        <f t="shared" si="2"/>
        <v>0</v>
      </c>
      <c r="AC14">
        <f t="shared" si="2"/>
        <v>0</v>
      </c>
      <c r="AD14">
        <f t="shared" si="2"/>
        <v>0</v>
      </c>
      <c r="AE14">
        <f t="shared" si="2"/>
        <v>0</v>
      </c>
      <c r="AF14">
        <f t="shared" si="2"/>
        <v>0</v>
      </c>
      <c r="AG14">
        <f t="shared" si="2"/>
        <v>0</v>
      </c>
      <c r="AH14">
        <f t="shared" si="2"/>
        <v>0</v>
      </c>
      <c r="AI14">
        <f t="shared" si="2"/>
        <v>0</v>
      </c>
      <c r="AJ14">
        <f t="shared" si="2"/>
        <v>0</v>
      </c>
      <c r="AK14">
        <f t="shared" si="2"/>
        <v>0</v>
      </c>
      <c r="AL14">
        <f t="shared" si="2"/>
        <v>0</v>
      </c>
      <c r="AM14">
        <f t="shared" si="2"/>
        <v>0</v>
      </c>
      <c r="AN14">
        <f t="shared" si="2"/>
        <v>0</v>
      </c>
      <c r="AO14">
        <f t="shared" si="2"/>
        <v>0</v>
      </c>
      <c r="AP14">
        <f t="shared" si="2"/>
        <v>0</v>
      </c>
      <c r="AQ14">
        <f t="shared" si="2"/>
        <v>0</v>
      </c>
      <c r="AR14">
        <f t="shared" si="2"/>
        <v>0</v>
      </c>
      <c r="AS14">
        <f t="shared" si="2"/>
        <v>0</v>
      </c>
      <c r="AT14">
        <f t="shared" si="2"/>
        <v>0</v>
      </c>
      <c r="AU14">
        <f t="shared" si="2"/>
        <v>0</v>
      </c>
      <c r="AV14">
        <f t="shared" si="2"/>
        <v>0</v>
      </c>
      <c r="AW14">
        <f t="shared" si="2"/>
        <v>0</v>
      </c>
      <c r="AX14">
        <f t="shared" si="2"/>
        <v>0</v>
      </c>
      <c r="AY14">
        <f t="shared" si="2"/>
        <v>0</v>
      </c>
      <c r="AZ14">
        <f t="shared" si="2"/>
        <v>0</v>
      </c>
    </row>
    <row r="15" spans="1:52" x14ac:dyDescent="0.25">
      <c r="B15" s="136" t="s">
        <v>10</v>
      </c>
      <c r="C15" s="490">
        <v>2030</v>
      </c>
      <c r="D15" s="422">
        <f t="shared" ref="D15:L15" si="6">D8</f>
        <v>1</v>
      </c>
      <c r="E15" s="422">
        <f t="shared" si="6"/>
        <v>1</v>
      </c>
      <c r="F15" s="422">
        <f t="shared" si="6"/>
        <v>1</v>
      </c>
      <c r="G15" s="422">
        <f t="shared" si="6"/>
        <v>1</v>
      </c>
      <c r="H15" s="422">
        <f t="shared" si="6"/>
        <v>1</v>
      </c>
      <c r="I15" s="422">
        <f t="shared" si="6"/>
        <v>1</v>
      </c>
      <c r="J15" s="422">
        <f t="shared" si="6"/>
        <v>1</v>
      </c>
      <c r="K15" s="422">
        <f t="shared" si="6"/>
        <v>1</v>
      </c>
      <c r="L15" s="422">
        <f t="shared" si="6"/>
        <v>1</v>
      </c>
      <c r="M15">
        <f>IF(M$1&lt;$C15,L15,0)</f>
        <v>1</v>
      </c>
      <c r="N15">
        <f t="shared" si="2"/>
        <v>1</v>
      </c>
      <c r="O15">
        <f t="shared" si="2"/>
        <v>1</v>
      </c>
      <c r="P15">
        <f t="shared" si="2"/>
        <v>1</v>
      </c>
      <c r="Q15">
        <f t="shared" si="2"/>
        <v>1</v>
      </c>
      <c r="R15">
        <f t="shared" si="2"/>
        <v>1</v>
      </c>
      <c r="S15">
        <f t="shared" si="2"/>
        <v>1</v>
      </c>
      <c r="T15">
        <f t="shared" si="2"/>
        <v>1</v>
      </c>
      <c r="U15">
        <f t="shared" si="2"/>
        <v>1</v>
      </c>
      <c r="V15">
        <f t="shared" si="2"/>
        <v>0</v>
      </c>
      <c r="W15">
        <f t="shared" si="2"/>
        <v>0</v>
      </c>
      <c r="X15">
        <f t="shared" si="2"/>
        <v>0</v>
      </c>
      <c r="Y15">
        <f t="shared" si="2"/>
        <v>0</v>
      </c>
      <c r="Z15">
        <f t="shared" si="2"/>
        <v>0</v>
      </c>
      <c r="AA15">
        <f t="shared" si="2"/>
        <v>0</v>
      </c>
      <c r="AB15">
        <f t="shared" si="2"/>
        <v>0</v>
      </c>
      <c r="AC15">
        <f t="shared" si="2"/>
        <v>0</v>
      </c>
      <c r="AD15">
        <f t="shared" si="2"/>
        <v>0</v>
      </c>
      <c r="AE15">
        <f t="shared" si="2"/>
        <v>0</v>
      </c>
      <c r="AF15">
        <f t="shared" si="2"/>
        <v>0</v>
      </c>
      <c r="AG15">
        <f t="shared" si="2"/>
        <v>0</v>
      </c>
      <c r="AH15">
        <f t="shared" si="2"/>
        <v>0</v>
      </c>
      <c r="AI15">
        <f t="shared" si="2"/>
        <v>0</v>
      </c>
      <c r="AJ15">
        <f t="shared" si="2"/>
        <v>0</v>
      </c>
      <c r="AK15">
        <f t="shared" si="2"/>
        <v>0</v>
      </c>
      <c r="AL15">
        <f t="shared" si="2"/>
        <v>0</v>
      </c>
      <c r="AM15">
        <f t="shared" si="2"/>
        <v>0</v>
      </c>
      <c r="AN15">
        <f t="shared" si="2"/>
        <v>0</v>
      </c>
      <c r="AO15">
        <f t="shared" si="2"/>
        <v>0</v>
      </c>
      <c r="AP15">
        <f t="shared" si="2"/>
        <v>0</v>
      </c>
      <c r="AQ15">
        <f t="shared" si="2"/>
        <v>0</v>
      </c>
      <c r="AR15">
        <f t="shared" si="2"/>
        <v>0</v>
      </c>
      <c r="AS15">
        <f t="shared" si="2"/>
        <v>0</v>
      </c>
      <c r="AT15">
        <f t="shared" si="2"/>
        <v>0</v>
      </c>
      <c r="AU15">
        <f t="shared" si="2"/>
        <v>0</v>
      </c>
      <c r="AV15">
        <f t="shared" si="2"/>
        <v>0</v>
      </c>
      <c r="AW15">
        <f t="shared" si="2"/>
        <v>0</v>
      </c>
      <c r="AX15">
        <f t="shared" si="2"/>
        <v>0</v>
      </c>
      <c r="AY15">
        <f t="shared" si="2"/>
        <v>0</v>
      </c>
      <c r="AZ15">
        <f t="shared" si="2"/>
        <v>0</v>
      </c>
    </row>
    <row r="16" spans="1:52" x14ac:dyDescent="0.25">
      <c r="B16" s="136" t="s">
        <v>8</v>
      </c>
      <c r="C16" s="350">
        <f>C136</f>
        <v>2030</v>
      </c>
      <c r="D16">
        <f t="shared" ref="D16:L16" si="7">D9</f>
        <v>1.7200000000000002</v>
      </c>
      <c r="E16">
        <f t="shared" si="7"/>
        <v>1.7200000000000002</v>
      </c>
      <c r="F16">
        <f t="shared" si="7"/>
        <v>1.7200000000000002</v>
      </c>
      <c r="G16">
        <f t="shared" si="7"/>
        <v>1.7200000000000002</v>
      </c>
      <c r="H16">
        <f t="shared" si="7"/>
        <v>1.7200000000000002</v>
      </c>
      <c r="I16">
        <f t="shared" si="7"/>
        <v>1.7200000000000002</v>
      </c>
      <c r="J16">
        <f t="shared" si="7"/>
        <v>1.7200000000000002</v>
      </c>
      <c r="K16">
        <f t="shared" si="7"/>
        <v>1.7200000000000002</v>
      </c>
      <c r="L16">
        <f t="shared" si="7"/>
        <v>1.7200000000000002</v>
      </c>
      <c r="M16">
        <f>IF(M$1&lt;$C16,L16,0)</f>
        <v>1.7200000000000002</v>
      </c>
      <c r="N16">
        <f t="shared" si="2"/>
        <v>1.7200000000000002</v>
      </c>
      <c r="O16">
        <f t="shared" si="2"/>
        <v>1.7200000000000002</v>
      </c>
      <c r="P16">
        <f t="shared" si="2"/>
        <v>1.7200000000000002</v>
      </c>
      <c r="Q16">
        <f t="shared" si="2"/>
        <v>1.7200000000000002</v>
      </c>
      <c r="R16">
        <f t="shared" si="2"/>
        <v>1.7200000000000002</v>
      </c>
      <c r="S16">
        <f t="shared" si="2"/>
        <v>1.7200000000000002</v>
      </c>
      <c r="T16">
        <f t="shared" si="2"/>
        <v>1.7200000000000002</v>
      </c>
      <c r="U16">
        <f t="shared" si="2"/>
        <v>1.7200000000000002</v>
      </c>
      <c r="V16">
        <f t="shared" si="2"/>
        <v>0</v>
      </c>
      <c r="W16">
        <f t="shared" si="2"/>
        <v>0</v>
      </c>
      <c r="X16">
        <f t="shared" si="2"/>
        <v>0</v>
      </c>
      <c r="Y16">
        <f t="shared" si="2"/>
        <v>0</v>
      </c>
      <c r="Z16">
        <f t="shared" si="2"/>
        <v>0</v>
      </c>
      <c r="AA16">
        <f t="shared" si="2"/>
        <v>0</v>
      </c>
      <c r="AB16">
        <f t="shared" si="2"/>
        <v>0</v>
      </c>
      <c r="AC16">
        <f t="shared" si="2"/>
        <v>0</v>
      </c>
      <c r="AD16">
        <f t="shared" si="2"/>
        <v>0</v>
      </c>
      <c r="AE16">
        <f t="shared" si="2"/>
        <v>0</v>
      </c>
      <c r="AF16">
        <f t="shared" si="2"/>
        <v>0</v>
      </c>
      <c r="AG16">
        <f t="shared" si="2"/>
        <v>0</v>
      </c>
      <c r="AH16">
        <f t="shared" si="2"/>
        <v>0</v>
      </c>
      <c r="AI16">
        <f t="shared" si="2"/>
        <v>0</v>
      </c>
      <c r="AJ16">
        <f t="shared" si="2"/>
        <v>0</v>
      </c>
      <c r="AK16">
        <f t="shared" si="2"/>
        <v>0</v>
      </c>
      <c r="AL16">
        <f t="shared" si="2"/>
        <v>0</v>
      </c>
      <c r="AM16">
        <f t="shared" si="2"/>
        <v>0</v>
      </c>
      <c r="AN16">
        <f t="shared" si="2"/>
        <v>0</v>
      </c>
      <c r="AO16">
        <f t="shared" si="2"/>
        <v>0</v>
      </c>
      <c r="AP16">
        <f t="shared" si="2"/>
        <v>0</v>
      </c>
      <c r="AQ16">
        <f t="shared" si="2"/>
        <v>0</v>
      </c>
      <c r="AR16">
        <f t="shared" si="2"/>
        <v>0</v>
      </c>
      <c r="AS16">
        <f t="shared" si="2"/>
        <v>0</v>
      </c>
      <c r="AT16">
        <f t="shared" si="2"/>
        <v>0</v>
      </c>
      <c r="AU16">
        <f t="shared" si="2"/>
        <v>0</v>
      </c>
      <c r="AV16">
        <f t="shared" si="2"/>
        <v>0</v>
      </c>
      <c r="AW16">
        <f t="shared" si="2"/>
        <v>0</v>
      </c>
      <c r="AX16">
        <f t="shared" si="2"/>
        <v>0</v>
      </c>
      <c r="AY16">
        <f t="shared" si="2"/>
        <v>0</v>
      </c>
      <c r="AZ16">
        <f t="shared" si="2"/>
        <v>0</v>
      </c>
    </row>
    <row r="17" spans="1:12" x14ac:dyDescent="0.25">
      <c r="B17" s="136"/>
      <c r="C17" s="350"/>
    </row>
    <row r="18" spans="1:12" x14ac:dyDescent="0.25">
      <c r="A18" s="136" t="s">
        <v>770</v>
      </c>
      <c r="D18" s="355">
        <f>'I&amp;S capacity + production'!M247</f>
        <v>6.94</v>
      </c>
      <c r="E18" s="355">
        <f>'I&amp;S capacity + production'!N247</f>
        <v>7.1</v>
      </c>
      <c r="F18" s="355">
        <f>'I&amp;S capacity + production'!O247</f>
        <v>6.5</v>
      </c>
      <c r="G18" s="355">
        <f>'I&amp;S capacity + production'!P247</f>
        <v>6.4000000000000012</v>
      </c>
      <c r="H18" s="355">
        <f>'I&amp;S capacity + production'!Q247</f>
        <v>6.0910000000000002</v>
      </c>
      <c r="I18" s="355">
        <f>'I&amp;S capacity + production'!R247</f>
        <v>6.23</v>
      </c>
      <c r="J18" s="355">
        <f>'I&amp;S capacity + production'!S247</f>
        <v>6.3</v>
      </c>
      <c r="K18" s="355">
        <f>'I&amp;S capacity + production'!T247</f>
        <v>6.1267974837582679</v>
      </c>
      <c r="L18" s="355">
        <f>'I&amp;S capacity + production'!U247</f>
        <v>5.0030232389251985</v>
      </c>
    </row>
    <row r="19" spans="1:12" x14ac:dyDescent="0.25">
      <c r="B19" s="136"/>
      <c r="C19" s="350"/>
    </row>
    <row r="21" spans="1:12" x14ac:dyDescent="0.25">
      <c r="A21" s="136" t="s">
        <v>529</v>
      </c>
      <c r="D21" s="349"/>
      <c r="E21" s="349"/>
    </row>
    <row r="22" spans="1:12" x14ac:dyDescent="0.25">
      <c r="B22" s="136" t="s">
        <v>7</v>
      </c>
      <c r="C22" s="137" cm="1">
        <f t="array" ref="C22">MAX(D22:L22/D5:L5)</f>
        <v>0.6889960595189083</v>
      </c>
      <c r="D22" s="412">
        <f>'I&amp;S capacity + production'!M242</f>
        <v>3.3</v>
      </c>
      <c r="E22" s="412">
        <f>'I&amp;S capacity + production'!N242</f>
        <v>3.3760806916426511</v>
      </c>
      <c r="F22" s="412">
        <f>'I&amp;S capacity + production'!O242</f>
        <v>3.0907780979827089</v>
      </c>
      <c r="G22" s="412">
        <f>'I&amp;S capacity + production'!P242</f>
        <v>3.1641891891891891</v>
      </c>
      <c r="H22" s="412">
        <f>'I&amp;S capacity + production'!Q242</f>
        <v>3.1641891891891891</v>
      </c>
      <c r="I22" s="412">
        <f>'I&amp;S capacity + production'!R242</f>
        <v>3.0330810810810807</v>
      </c>
      <c r="J22" s="412">
        <f>'I&amp;S capacity + production'!S242</f>
        <v>3.2032972972972971</v>
      </c>
      <c r="K22" s="412">
        <f>'I&amp;S capacity + production'!T242</f>
        <v>3.0300947810555652</v>
      </c>
      <c r="L22" s="412">
        <f>'I&amp;S capacity + production'!U242</f>
        <v>3.0300947810555652</v>
      </c>
    </row>
    <row r="23" spans="1:12" x14ac:dyDescent="0.25">
      <c r="B23" s="136" t="s">
        <v>173</v>
      </c>
      <c r="C23" s="137" cm="1">
        <f t="array" ref="C23">MAX(D23:L23/D6:L6)</f>
        <v>0.99830343032443969</v>
      </c>
      <c r="D23" s="412">
        <f>'I&amp;S capacity + production'!M243</f>
        <v>1.21</v>
      </c>
      <c r="E23" s="412">
        <f>'I&amp;S capacity + production'!N243</f>
        <v>1.2378962536023055</v>
      </c>
      <c r="F23" s="412">
        <f>'I&amp;S capacity + production'!O243</f>
        <v>1.13328530259366</v>
      </c>
      <c r="G23" s="412">
        <f>'I&amp;S capacity + production'!P243</f>
        <v>0.96299999999999997</v>
      </c>
      <c r="H23" s="412">
        <f>'I&amp;S capacity + production'!Q243</f>
        <v>0.83199999999999996</v>
      </c>
      <c r="I23" s="412">
        <f>'I&amp;S capacity + production'!R243</f>
        <v>1.1180000000000001</v>
      </c>
      <c r="J23" s="412">
        <f>'I&amp;S capacity + production'!S243</f>
        <v>1.0860000000000001</v>
      </c>
      <c r="K23" s="412">
        <f>'I&amp;S capacity + production'!T243</f>
        <v>1.0860000000000001</v>
      </c>
      <c r="L23" s="412">
        <f>'I&amp;S capacity + production'!U243</f>
        <v>0</v>
      </c>
    </row>
    <row r="24" spans="1:12" x14ac:dyDescent="0.25">
      <c r="B24" s="136" t="s">
        <v>9</v>
      </c>
      <c r="C24" s="137" cm="1">
        <f t="array" ref="C24">MAX(D24:L24/D7:L7)</f>
        <v>0.67493195645212933</v>
      </c>
      <c r="D24" s="412">
        <f>'I&amp;S capacity + production'!M244</f>
        <v>0.95</v>
      </c>
      <c r="E24" s="412">
        <f>'I&amp;S capacity + production'!N244</f>
        <v>0.97190201729106618</v>
      </c>
      <c r="F24" s="412">
        <f>'I&amp;S capacity + production'!O244</f>
        <v>0.88976945244956762</v>
      </c>
      <c r="G24" s="412">
        <f>'I&amp;S capacity + production'!P244</f>
        <v>0.77481081081081082</v>
      </c>
      <c r="H24" s="412">
        <f>'I&amp;S capacity + production'!Q244</f>
        <v>0.77481081081081082</v>
      </c>
      <c r="I24" s="412">
        <f>'I&amp;S capacity + production'!R244</f>
        <v>0.75891891891891894</v>
      </c>
      <c r="J24" s="412">
        <f>'I&amp;S capacity + production'!S244</f>
        <v>0.80270270270270283</v>
      </c>
      <c r="K24" s="412">
        <f>'I&amp;S capacity + production'!T244</f>
        <v>0.80270270270270283</v>
      </c>
      <c r="L24" s="412">
        <f>'I&amp;S capacity + production'!U244</f>
        <v>0.76492845786963448</v>
      </c>
    </row>
    <row r="25" spans="1:12" x14ac:dyDescent="0.25">
      <c r="B25" s="136" t="s">
        <v>10</v>
      </c>
      <c r="C25" s="137" cm="1">
        <f t="array" ref="C25">MAX(D25:L25/D8:L8)</f>
        <v>0.63429394812680118</v>
      </c>
      <c r="D25" s="412">
        <f>'I&amp;S capacity + production'!M245</f>
        <v>0.62</v>
      </c>
      <c r="E25" s="412">
        <f>'I&amp;S capacity + production'!N245</f>
        <v>0.63429394812680118</v>
      </c>
      <c r="F25" s="412">
        <f>'I&amp;S capacity + production'!O245</f>
        <v>0.5806916426512968</v>
      </c>
      <c r="G25" s="412">
        <f>'I&amp;S capacity + production'!P245</f>
        <v>0.1360000000000007</v>
      </c>
      <c r="H25" s="412">
        <f>'I&amp;S capacity + production'!Q245</f>
        <v>0</v>
      </c>
      <c r="I25" s="412">
        <f>'I&amp;S capacity + production'!R245</f>
        <v>0</v>
      </c>
      <c r="J25" s="412">
        <f>'I&amp;S capacity + production'!S245</f>
        <v>0</v>
      </c>
      <c r="K25" s="412">
        <f>'I&amp;S capacity + production'!T245</f>
        <v>0</v>
      </c>
      <c r="L25" s="412">
        <f>'I&amp;S capacity + production'!U245</f>
        <v>0</v>
      </c>
    </row>
    <row r="26" spans="1:12" x14ac:dyDescent="0.25">
      <c r="B26" s="136" t="s">
        <v>8</v>
      </c>
      <c r="C26" s="137" cm="1">
        <f t="array" ref="C26">MAX(D26:L26/D9:L9)</f>
        <v>0.79186046511627917</v>
      </c>
      <c r="D26" s="412">
        <f>'I&amp;S capacity + production'!M246</f>
        <v>0.86</v>
      </c>
      <c r="E26" s="412">
        <f>'I&amp;S capacity + production'!N246</f>
        <v>0.87982708933717579</v>
      </c>
      <c r="F26" s="412">
        <f>'I&amp;S capacity + production'!O246</f>
        <v>0.8054755043227666</v>
      </c>
      <c r="G26" s="412">
        <f>'I&amp;S capacity + production'!P246</f>
        <v>1.3620000000000003</v>
      </c>
      <c r="H26" s="412">
        <f>'I&amp;S capacity + production'!Q246</f>
        <v>1.3200000000000003</v>
      </c>
      <c r="I26" s="412">
        <f>'I&amp;S capacity + production'!R246</f>
        <v>1.3200000000000003</v>
      </c>
      <c r="J26" s="412">
        <f>'I&amp;S capacity + production'!S246</f>
        <v>1.2079999999999993</v>
      </c>
      <c r="K26" s="412">
        <f>'I&amp;S capacity + production'!T246</f>
        <v>1.2079999999999993</v>
      </c>
      <c r="L26" s="412">
        <f>'I&amp;S capacity + production'!U246</f>
        <v>1.2079999999999993</v>
      </c>
    </row>
    <row r="27" spans="1:12" x14ac:dyDescent="0.25">
      <c r="B27" s="350" t="s">
        <v>530</v>
      </c>
      <c r="D27" s="419">
        <f t="shared" ref="D27:L27" si="8">D26/D18</f>
        <v>0.1239193083573487</v>
      </c>
      <c r="E27" s="419">
        <f t="shared" si="8"/>
        <v>0.12391930835734871</v>
      </c>
      <c r="F27" s="419">
        <f t="shared" si="8"/>
        <v>0.12391930835734871</v>
      </c>
      <c r="G27" s="419">
        <f t="shared" si="8"/>
        <v>0.21281250000000002</v>
      </c>
      <c r="H27" s="419">
        <f t="shared" si="8"/>
        <v>0.21671318338532264</v>
      </c>
      <c r="I27" s="419">
        <f t="shared" si="8"/>
        <v>0.21187800963081865</v>
      </c>
      <c r="J27" s="419">
        <f t="shared" si="8"/>
        <v>0.19174603174603164</v>
      </c>
      <c r="K27" s="419">
        <f t="shared" si="8"/>
        <v>0.19716662794915726</v>
      </c>
      <c r="L27" s="419">
        <f t="shared" si="8"/>
        <v>0.24145400537046363</v>
      </c>
    </row>
    <row r="29" spans="1:12" x14ac:dyDescent="0.25">
      <c r="A29" s="136" t="s">
        <v>530</v>
      </c>
      <c r="B29" s="136" t="s">
        <v>532</v>
      </c>
      <c r="C29" t="s">
        <v>534</v>
      </c>
      <c r="D29" t="str">
        <f>"-"&amp;ROUND(D27*102%,3)</f>
        <v>-0.126</v>
      </c>
      <c r="E29" t="str">
        <f t="shared" ref="E29:L29" si="9">"-"&amp;ROUND(E27*102%,3)</f>
        <v>-0.126</v>
      </c>
      <c r="F29" t="str">
        <f t="shared" si="9"/>
        <v>-0.126</v>
      </c>
      <c r="G29" t="str">
        <f t="shared" si="9"/>
        <v>-0.217</v>
      </c>
      <c r="H29" t="str">
        <f t="shared" si="9"/>
        <v>-0.221</v>
      </c>
      <c r="I29" t="str">
        <f t="shared" si="9"/>
        <v>-0.216</v>
      </c>
      <c r="J29" t="str">
        <f t="shared" si="9"/>
        <v>-0.196</v>
      </c>
      <c r="K29" t="str">
        <f t="shared" si="9"/>
        <v>-0.201</v>
      </c>
      <c r="L29" t="str">
        <f t="shared" si="9"/>
        <v>-0.246</v>
      </c>
    </row>
    <row r="30" spans="1:12" x14ac:dyDescent="0.25">
      <c r="C30" t="s">
        <v>533</v>
      </c>
      <c r="D30" t="str">
        <f>"-"&amp;ROUND(D27*(98%),3)</f>
        <v>-0.121</v>
      </c>
      <c r="E30" t="str">
        <f t="shared" ref="E30:L30" si="10">"-"&amp;ROUND(E27*(98%),3)</f>
        <v>-0.121</v>
      </c>
      <c r="F30" t="str">
        <f t="shared" si="10"/>
        <v>-0.121</v>
      </c>
      <c r="G30" t="str">
        <f t="shared" si="10"/>
        <v>-0.209</v>
      </c>
      <c r="H30" t="str">
        <f t="shared" si="10"/>
        <v>-0.212</v>
      </c>
      <c r="I30" t="str">
        <f t="shared" si="10"/>
        <v>-0.208</v>
      </c>
      <c r="J30" t="str">
        <f t="shared" si="10"/>
        <v>-0.188</v>
      </c>
      <c r="K30" t="str">
        <f t="shared" si="10"/>
        <v>-0.193</v>
      </c>
      <c r="L30" t="str">
        <f t="shared" si="10"/>
        <v>-0.237</v>
      </c>
    </row>
    <row r="34" spans="1:5" x14ac:dyDescent="0.25">
      <c r="A34" s="136" t="s">
        <v>538</v>
      </c>
    </row>
    <row r="35" spans="1:5" x14ac:dyDescent="0.25">
      <c r="C35" t="s">
        <v>536</v>
      </c>
      <c r="E35" t="s">
        <v>771</v>
      </c>
    </row>
    <row r="36" spans="1:5" x14ac:dyDescent="0.25">
      <c r="B36" s="136" t="s">
        <v>7</v>
      </c>
      <c r="C36">
        <f>SUMIFS('Energy and Emissions'!$C$91:$C$96,'Energy and Emissions'!$B$91:$B$96,B36)</f>
        <v>2.81</v>
      </c>
    </row>
    <row r="37" spans="1:5" x14ac:dyDescent="0.25">
      <c r="B37" s="136" t="s">
        <v>173</v>
      </c>
      <c r="C37" s="355">
        <f>SUMIFS('Energy and Emissions'!$C$91:$C$96,'Energy and Emissions'!$B$91:$B$96,B37)</f>
        <v>2.1267142857142858</v>
      </c>
    </row>
    <row r="38" spans="1:5" x14ac:dyDescent="0.25">
      <c r="B38" s="136" t="s">
        <v>9</v>
      </c>
      <c r="C38" s="355">
        <f>SUMIFS('Energy and Emissions'!$C$91:$C$96,'Energy and Emissions'!$B$91:$B$96,B38)</f>
        <v>1.605</v>
      </c>
    </row>
    <row r="39" spans="1:5" x14ac:dyDescent="0.25">
      <c r="B39" s="136" t="s">
        <v>10</v>
      </c>
      <c r="C39">
        <f>SUMIFS('Energy and Emissions'!$C$91:$C$96,'Energy and Emissions'!$B$91:$B$96,B39)</f>
        <v>1.54</v>
      </c>
    </row>
    <row r="40" spans="1:5" x14ac:dyDescent="0.25">
      <c r="B40" s="136" t="s">
        <v>8</v>
      </c>
      <c r="C40">
        <f>SUMIFS('Energy and Emissions'!$C$91:$C$96,'Energy and Emissions'!$B$91:$B$96,B40)</f>
        <v>0.08</v>
      </c>
    </row>
    <row r="43" spans="1:5" x14ac:dyDescent="0.25">
      <c r="B43" s="136" t="s">
        <v>588</v>
      </c>
    </row>
    <row r="44" spans="1:5" x14ac:dyDescent="0.25">
      <c r="B44" t="s">
        <v>170</v>
      </c>
      <c r="C44">
        <f>C36</f>
        <v>2.81</v>
      </c>
    </row>
    <row r="45" spans="1:5" x14ac:dyDescent="0.25">
      <c r="B45" t="s">
        <v>539</v>
      </c>
      <c r="C45">
        <f>C44</f>
        <v>2.81</v>
      </c>
    </row>
    <row r="46" spans="1:5" x14ac:dyDescent="0.25">
      <c r="B46" t="s">
        <v>172</v>
      </c>
      <c r="C46" s="355">
        <f>C37</f>
        <v>2.1267142857142858</v>
      </c>
    </row>
    <row r="47" spans="1:5" x14ac:dyDescent="0.25">
      <c r="B47" t="s">
        <v>175</v>
      </c>
      <c r="C47" s="355">
        <f>C38</f>
        <v>1.605</v>
      </c>
    </row>
    <row r="48" spans="1:5" x14ac:dyDescent="0.25">
      <c r="B48" t="s">
        <v>540</v>
      </c>
      <c r="C48" s="355">
        <f>C47</f>
        <v>1.605</v>
      </c>
    </row>
    <row r="49" spans="1:15" x14ac:dyDescent="0.25">
      <c r="B49" t="s">
        <v>541</v>
      </c>
      <c r="C49" s="355">
        <f>C48</f>
        <v>1.605</v>
      </c>
    </row>
    <row r="50" spans="1:15" x14ac:dyDescent="0.25">
      <c r="B50" t="s">
        <v>179</v>
      </c>
      <c r="C50">
        <f>C39</f>
        <v>1.54</v>
      </c>
    </row>
    <row r="51" spans="1:15" x14ac:dyDescent="0.25">
      <c r="B51" t="s">
        <v>181</v>
      </c>
      <c r="C51">
        <f>C40</f>
        <v>0.08</v>
      </c>
      <c r="H51" s="113"/>
      <c r="J51" s="113"/>
      <c r="M51" s="113"/>
      <c r="O51" s="449"/>
    </row>
    <row r="52" spans="1:15" x14ac:dyDescent="0.25">
      <c r="B52" t="s">
        <v>542</v>
      </c>
      <c r="C52">
        <f>C51</f>
        <v>0.08</v>
      </c>
    </row>
    <row r="55" spans="1:15" x14ac:dyDescent="0.25">
      <c r="A55" s="136" t="s">
        <v>589</v>
      </c>
    </row>
    <row r="57" spans="1:15" x14ac:dyDescent="0.25">
      <c r="B57" t="s">
        <v>170</v>
      </c>
      <c r="C57" s="355">
        <f>'Energy Intensity'!L99</f>
        <v>16.42657042314022</v>
      </c>
    </row>
    <row r="58" spans="1:15" x14ac:dyDescent="0.25">
      <c r="B58" t="s">
        <v>539</v>
      </c>
      <c r="C58" s="355">
        <f>C57</f>
        <v>16.42657042314022</v>
      </c>
    </row>
    <row r="59" spans="1:15" x14ac:dyDescent="0.25">
      <c r="B59" t="s">
        <v>172</v>
      </c>
      <c r="C59" s="355">
        <f>'Energy Intensity'!L102</f>
        <v>22.151676172353415</v>
      </c>
    </row>
    <row r="60" spans="1:15" x14ac:dyDescent="0.25">
      <c r="B60" t="s">
        <v>175</v>
      </c>
      <c r="C60" s="355">
        <f>'Energy Intensity'!L100</f>
        <v>27.743824076135091</v>
      </c>
    </row>
    <row r="61" spans="1:15" x14ac:dyDescent="0.25">
      <c r="B61" t="s">
        <v>540</v>
      </c>
      <c r="C61" s="355">
        <f>C60</f>
        <v>27.743824076135091</v>
      </c>
    </row>
    <row r="62" spans="1:15" x14ac:dyDescent="0.25">
      <c r="B62" t="s">
        <v>541</v>
      </c>
      <c r="C62" s="355"/>
    </row>
    <row r="63" spans="1:15" x14ac:dyDescent="0.25">
      <c r="B63" t="s">
        <v>179</v>
      </c>
      <c r="C63" s="355">
        <f>'Energy Intensity'!L103</f>
        <v>44.655000000000001</v>
      </c>
    </row>
    <row r="64" spans="1:15" x14ac:dyDescent="0.25">
      <c r="B64" t="s">
        <v>181</v>
      </c>
      <c r="C64" s="355">
        <f>'Energy Intensity'!L101</f>
        <v>5.4887322803632257</v>
      </c>
    </row>
    <row r="65" spans="1:10" x14ac:dyDescent="0.25">
      <c r="B65" t="s">
        <v>542</v>
      </c>
      <c r="C65" s="355">
        <f>C64</f>
        <v>5.4887322803632257</v>
      </c>
    </row>
    <row r="69" spans="1:10" x14ac:dyDescent="0.25">
      <c r="A69" s="136" t="s">
        <v>590</v>
      </c>
    </row>
    <row r="70" spans="1:10" x14ac:dyDescent="0.25">
      <c r="D70" t="s">
        <v>40</v>
      </c>
      <c r="E70" t="s">
        <v>39</v>
      </c>
      <c r="F70" t="s">
        <v>43</v>
      </c>
      <c r="H70" t="s">
        <v>595</v>
      </c>
      <c r="I70" t="s">
        <v>592</v>
      </c>
    </row>
    <row r="71" spans="1:10" x14ac:dyDescent="0.25">
      <c r="D71" t="s">
        <v>454</v>
      </c>
      <c r="E71" t="s">
        <v>14</v>
      </c>
      <c r="F71" t="s">
        <v>11</v>
      </c>
      <c r="G71" t="s">
        <v>455</v>
      </c>
      <c r="H71" t="s">
        <v>154</v>
      </c>
      <c r="I71" t="s">
        <v>456</v>
      </c>
      <c r="J71" t="s">
        <v>325</v>
      </c>
    </row>
    <row r="72" spans="1:10" x14ac:dyDescent="0.25">
      <c r="B72" t="s">
        <v>170</v>
      </c>
      <c r="C72" t="str">
        <f>'Energy Intensity'!D118</f>
        <v>BF-BOF</v>
      </c>
      <c r="D72" s="412">
        <f>'Energy Intensity'!E118</f>
        <v>0.26361053874824431</v>
      </c>
      <c r="E72" s="412">
        <f>'Energy Intensity'!F118</f>
        <v>0.12782206880423377</v>
      </c>
      <c r="F72" s="412">
        <f>'Energy Intensity'!G118</f>
        <v>0.54033090194192068</v>
      </c>
      <c r="G72" s="412">
        <f>'Energy Intensity'!H118</f>
        <v>0</v>
      </c>
      <c r="H72" s="412">
        <f>'Energy Intensity'!I118</f>
        <v>3.6181323290069074E-2</v>
      </c>
      <c r="I72" s="412">
        <f>'Energy Intensity'!J118</f>
        <v>3.2055167215532178E-2</v>
      </c>
      <c r="J72" s="412">
        <f>'Energy Intensity'!K118</f>
        <v>0</v>
      </c>
    </row>
    <row r="73" spans="1:10" x14ac:dyDescent="0.25">
      <c r="B73" t="s">
        <v>175</v>
      </c>
      <c r="C73" t="str">
        <f>'Energy Intensity'!D119</f>
        <v>DR-EAF</v>
      </c>
      <c r="D73" s="412">
        <f>'Energy Intensity'!E119</f>
        <v>0.74238447012267461</v>
      </c>
      <c r="E73" s="412">
        <f>'Energy Intensity'!F119</f>
        <v>0.17508378988061105</v>
      </c>
      <c r="F73" s="412">
        <f>'Energy Intensity'!G119</f>
        <v>0</v>
      </c>
      <c r="G73" s="412">
        <f>'Energy Intensity'!H119</f>
        <v>0</v>
      </c>
      <c r="H73" s="412">
        <f>'Energy Intensity'!I119</f>
        <v>0</v>
      </c>
      <c r="I73" s="412">
        <f>'Energy Intensity'!J119</f>
        <v>8.2531739996714287E-2</v>
      </c>
      <c r="J73" s="412">
        <f>'Energy Intensity'!K119</f>
        <v>0</v>
      </c>
    </row>
    <row r="74" spans="1:10" x14ac:dyDescent="0.25">
      <c r="B74" t="s">
        <v>181</v>
      </c>
      <c r="C74" t="str">
        <f>'Energy Intensity'!D120</f>
        <v>SCRAP-EAF</v>
      </c>
      <c r="D74" s="412">
        <f>'Energy Intensity'!E120</f>
        <v>0</v>
      </c>
      <c r="E74" s="412">
        <f>'Energy Intensity'!F120</f>
        <v>0.74487768236857965</v>
      </c>
      <c r="F74" s="412">
        <f>'Energy Intensity'!G120</f>
        <v>0</v>
      </c>
      <c r="G74" s="412">
        <f>'Energy Intensity'!H120</f>
        <v>0</v>
      </c>
      <c r="H74" s="412">
        <f>'Energy Intensity'!I120</f>
        <v>0.12863089961074112</v>
      </c>
      <c r="I74" s="412">
        <f>'Energy Intensity'!J120</f>
        <v>0.12649141802067926</v>
      </c>
      <c r="J74" s="412">
        <f>'Energy Intensity'!K120</f>
        <v>0</v>
      </c>
    </row>
    <row r="75" spans="1:10" x14ac:dyDescent="0.25">
      <c r="B75" t="s">
        <v>172</v>
      </c>
      <c r="C75" t="str">
        <f>'Energy Intensity'!D121</f>
        <v>CONARC</v>
      </c>
      <c r="D75" s="412">
        <f>'Energy Intensity'!E121</f>
        <v>0.77646494405992639</v>
      </c>
      <c r="E75" s="412">
        <f>'Energy Intensity'!F121</f>
        <v>7.8007640891601907E-2</v>
      </c>
      <c r="F75" s="412">
        <f>'Energy Intensity'!G121</f>
        <v>0.11737260782301213</v>
      </c>
      <c r="G75" s="412">
        <f>'Energy Intensity'!H121</f>
        <v>0</v>
      </c>
      <c r="H75" s="412">
        <f>'Energy Intensity'!I121</f>
        <v>9.794992575659793E-3</v>
      </c>
      <c r="I75" s="412">
        <f>'Energy Intensity'!J121</f>
        <v>1.8359814649799511E-2</v>
      </c>
      <c r="J75" s="412">
        <f>'Energy Intensity'!K121</f>
        <v>0</v>
      </c>
    </row>
    <row r="76" spans="1:10" x14ac:dyDescent="0.25">
      <c r="B76" t="s">
        <v>179</v>
      </c>
      <c r="C76" t="str">
        <f>'Energy Intensity'!D122</f>
        <v>Other</v>
      </c>
      <c r="D76" s="412">
        <f>'Energy Intensity'!E122</f>
        <v>0.46153846153846151</v>
      </c>
      <c r="E76" s="412">
        <f>'Energy Intensity'!F122</f>
        <v>0.46153846153846151</v>
      </c>
      <c r="F76" s="412">
        <f>'Energy Intensity'!G122</f>
        <v>0</v>
      </c>
      <c r="G76" s="412">
        <f>'Energy Intensity'!H122</f>
        <v>0</v>
      </c>
      <c r="H76" s="412">
        <f>'Energy Intensity'!I122</f>
        <v>0</v>
      </c>
      <c r="I76" s="412">
        <f>'Energy Intensity'!J122</f>
        <v>7.6923076923076913E-2</v>
      </c>
      <c r="J76" s="412">
        <f>'Energy Intensity'!K122</f>
        <v>0</v>
      </c>
    </row>
    <row r="81" spans="2:5" x14ac:dyDescent="0.25">
      <c r="D81" t="s">
        <v>593</v>
      </c>
      <c r="E81" t="s">
        <v>594</v>
      </c>
    </row>
    <row r="82" spans="2:5" x14ac:dyDescent="0.25">
      <c r="B82" t="s">
        <v>170</v>
      </c>
      <c r="C82" s="113" t="s">
        <v>40</v>
      </c>
      <c r="D82" s="357">
        <f>INDEX($D$72:$J$76,MATCH(B82,$B$72:$B$76,0),MATCH($C82,$D$70:$J$70,0))</f>
        <v>0.26361053874824431</v>
      </c>
      <c r="E82" s="357">
        <f>D82*101%</f>
        <v>0.26624664413572674</v>
      </c>
    </row>
    <row r="83" spans="2:5" x14ac:dyDescent="0.25">
      <c r="B83" t="s">
        <v>175</v>
      </c>
      <c r="C83" s="113" t="s">
        <v>40</v>
      </c>
      <c r="D83" s="357">
        <f t="shared" ref="D83:D106" si="11">INDEX($D$72:$J$76,MATCH(B83,$B$72:$B$76,0),MATCH($C83,$D$70:$J$70,0))</f>
        <v>0.74238447012267461</v>
      </c>
      <c r="E83" s="357">
        <f t="shared" ref="E83:E106" si="12">D83*101%</f>
        <v>0.74980831482390131</v>
      </c>
    </row>
    <row r="84" spans="2:5" x14ac:dyDescent="0.25">
      <c r="B84" t="s">
        <v>181</v>
      </c>
      <c r="C84" s="113" t="s">
        <v>40</v>
      </c>
      <c r="D84" s="357">
        <f t="shared" si="11"/>
        <v>0</v>
      </c>
      <c r="E84" s="357">
        <f t="shared" si="12"/>
        <v>0</v>
      </c>
    </row>
    <row r="85" spans="2:5" x14ac:dyDescent="0.25">
      <c r="B85" t="s">
        <v>172</v>
      </c>
      <c r="C85" s="113" t="s">
        <v>40</v>
      </c>
      <c r="D85" s="357">
        <f>INDEX($D$72:$J$76,MATCH(B85,$B$72:$B$76,0),MATCH($C85,$D$70:$J$70,0))</f>
        <v>0.77646494405992639</v>
      </c>
      <c r="E85" s="357">
        <f t="shared" si="12"/>
        <v>0.78422959350052568</v>
      </c>
    </row>
    <row r="86" spans="2:5" x14ac:dyDescent="0.25">
      <c r="B86" t="s">
        <v>179</v>
      </c>
      <c r="C86" s="113" t="s">
        <v>40</v>
      </c>
      <c r="D86" s="357">
        <f t="shared" si="11"/>
        <v>0.46153846153846151</v>
      </c>
      <c r="E86" s="357">
        <f t="shared" si="12"/>
        <v>0.46615384615384614</v>
      </c>
    </row>
    <row r="87" spans="2:5" x14ac:dyDescent="0.25">
      <c r="B87" t="s">
        <v>170</v>
      </c>
      <c r="C87" s="113" t="s">
        <v>39</v>
      </c>
      <c r="D87" s="357">
        <f t="shared" si="11"/>
        <v>0.12782206880423377</v>
      </c>
      <c r="E87" s="357">
        <f>D87*101%</f>
        <v>0.12910028949227612</v>
      </c>
    </row>
    <row r="88" spans="2:5" x14ac:dyDescent="0.25">
      <c r="B88" t="s">
        <v>175</v>
      </c>
      <c r="C88" s="113" t="s">
        <v>39</v>
      </c>
      <c r="D88" s="357">
        <f t="shared" si="11"/>
        <v>0.17508378988061105</v>
      </c>
      <c r="E88" s="357">
        <f t="shared" si="12"/>
        <v>0.17683462777941716</v>
      </c>
    </row>
    <row r="89" spans="2:5" x14ac:dyDescent="0.25">
      <c r="B89" t="s">
        <v>181</v>
      </c>
      <c r="C89" s="113" t="s">
        <v>39</v>
      </c>
      <c r="D89" s="357">
        <f t="shared" si="11"/>
        <v>0.74487768236857965</v>
      </c>
      <c r="E89" s="357">
        <f t="shared" si="12"/>
        <v>0.75232645919226548</v>
      </c>
    </row>
    <row r="90" spans="2:5" x14ac:dyDescent="0.25">
      <c r="B90" t="s">
        <v>172</v>
      </c>
      <c r="C90" s="113" t="s">
        <v>39</v>
      </c>
      <c r="D90" s="357">
        <f t="shared" si="11"/>
        <v>7.8007640891601907E-2</v>
      </c>
      <c r="E90" s="357">
        <f t="shared" si="12"/>
        <v>7.8787717300517923E-2</v>
      </c>
    </row>
    <row r="91" spans="2:5" x14ac:dyDescent="0.25">
      <c r="B91" t="s">
        <v>179</v>
      </c>
      <c r="C91" s="113" t="s">
        <v>39</v>
      </c>
      <c r="D91" s="357">
        <f t="shared" si="11"/>
        <v>0.46153846153846151</v>
      </c>
      <c r="E91" s="357">
        <f t="shared" si="12"/>
        <v>0.46615384615384614</v>
      </c>
    </row>
    <row r="92" spans="2:5" x14ac:dyDescent="0.25">
      <c r="B92" t="s">
        <v>170</v>
      </c>
      <c r="C92" s="113" t="s">
        <v>43</v>
      </c>
      <c r="D92" s="357">
        <f t="shared" si="11"/>
        <v>0.54033090194192068</v>
      </c>
      <c r="E92" s="357">
        <f t="shared" si="12"/>
        <v>0.54573421096133989</v>
      </c>
    </row>
    <row r="93" spans="2:5" x14ac:dyDescent="0.25">
      <c r="B93" t="s">
        <v>175</v>
      </c>
      <c r="C93" s="113" t="s">
        <v>43</v>
      </c>
      <c r="D93" s="357">
        <f t="shared" si="11"/>
        <v>0</v>
      </c>
      <c r="E93" s="357">
        <f t="shared" si="12"/>
        <v>0</v>
      </c>
    </row>
    <row r="94" spans="2:5" x14ac:dyDescent="0.25">
      <c r="B94" t="s">
        <v>181</v>
      </c>
      <c r="C94" s="113" t="s">
        <v>43</v>
      </c>
      <c r="D94" s="357">
        <f t="shared" si="11"/>
        <v>0</v>
      </c>
      <c r="E94" s="357">
        <f t="shared" si="12"/>
        <v>0</v>
      </c>
    </row>
    <row r="95" spans="2:5" x14ac:dyDescent="0.25">
      <c r="B95" t="s">
        <v>172</v>
      </c>
      <c r="C95" s="113" t="s">
        <v>43</v>
      </c>
      <c r="D95" s="357">
        <f t="shared" si="11"/>
        <v>0.11737260782301213</v>
      </c>
      <c r="E95" s="357">
        <f t="shared" si="12"/>
        <v>0.11854633390124225</v>
      </c>
    </row>
    <row r="96" spans="2:5" x14ac:dyDescent="0.25">
      <c r="B96" t="s">
        <v>179</v>
      </c>
      <c r="C96" s="113" t="s">
        <v>43</v>
      </c>
      <c r="D96" s="357">
        <f t="shared" si="11"/>
        <v>0</v>
      </c>
      <c r="E96" s="357">
        <f t="shared" si="12"/>
        <v>0</v>
      </c>
    </row>
    <row r="97" spans="1:8" x14ac:dyDescent="0.25">
      <c r="B97" t="s">
        <v>170</v>
      </c>
      <c r="C97" t="s">
        <v>595</v>
      </c>
      <c r="D97" s="357">
        <f t="shared" si="11"/>
        <v>3.6181323290069074E-2</v>
      </c>
      <c r="E97" s="357">
        <f t="shared" si="12"/>
        <v>3.6543136522969769E-2</v>
      </c>
    </row>
    <row r="98" spans="1:8" x14ac:dyDescent="0.25">
      <c r="B98" t="s">
        <v>175</v>
      </c>
      <c r="C98" t="s">
        <v>595</v>
      </c>
      <c r="D98" s="357">
        <f t="shared" si="11"/>
        <v>0</v>
      </c>
      <c r="E98" s="357">
        <f t="shared" si="12"/>
        <v>0</v>
      </c>
    </row>
    <row r="99" spans="1:8" x14ac:dyDescent="0.25">
      <c r="B99" t="s">
        <v>181</v>
      </c>
      <c r="C99" t="s">
        <v>595</v>
      </c>
      <c r="D99" s="357">
        <f t="shared" si="11"/>
        <v>0.12863089961074112</v>
      </c>
      <c r="E99" s="357">
        <f t="shared" si="12"/>
        <v>0.12991720860684852</v>
      </c>
    </row>
    <row r="100" spans="1:8" x14ac:dyDescent="0.25">
      <c r="B100" t="s">
        <v>172</v>
      </c>
      <c r="C100" t="s">
        <v>595</v>
      </c>
      <c r="D100" s="357">
        <f t="shared" si="11"/>
        <v>9.794992575659793E-3</v>
      </c>
      <c r="E100" s="357">
        <f t="shared" si="12"/>
        <v>9.8929425014163911E-3</v>
      </c>
    </row>
    <row r="101" spans="1:8" x14ac:dyDescent="0.25">
      <c r="B101" t="s">
        <v>179</v>
      </c>
      <c r="C101" t="s">
        <v>595</v>
      </c>
      <c r="D101" s="357">
        <f t="shared" si="11"/>
        <v>0</v>
      </c>
      <c r="E101" s="357">
        <f t="shared" si="12"/>
        <v>0</v>
      </c>
    </row>
    <row r="102" spans="1:8" x14ac:dyDescent="0.25">
      <c r="B102" t="s">
        <v>170</v>
      </c>
      <c r="C102" s="113" t="s">
        <v>592</v>
      </c>
      <c r="D102" s="357">
        <f t="shared" si="11"/>
        <v>3.2055167215532178E-2</v>
      </c>
      <c r="E102" s="357">
        <f t="shared" si="12"/>
        <v>3.2375718887687498E-2</v>
      </c>
    </row>
    <row r="103" spans="1:8" x14ac:dyDescent="0.25">
      <c r="B103" t="s">
        <v>175</v>
      </c>
      <c r="C103" s="113" t="s">
        <v>592</v>
      </c>
      <c r="D103" s="357">
        <f t="shared" si="11"/>
        <v>8.2531739996714287E-2</v>
      </c>
      <c r="E103" s="357">
        <f t="shared" si="12"/>
        <v>8.3357057396681436E-2</v>
      </c>
    </row>
    <row r="104" spans="1:8" x14ac:dyDescent="0.25">
      <c r="B104" t="s">
        <v>181</v>
      </c>
      <c r="C104" s="113" t="s">
        <v>592</v>
      </c>
      <c r="D104" s="357">
        <f t="shared" si="11"/>
        <v>0.12649141802067926</v>
      </c>
      <c r="E104" s="357">
        <f t="shared" si="12"/>
        <v>0.12775633220088606</v>
      </c>
    </row>
    <row r="105" spans="1:8" x14ac:dyDescent="0.25">
      <c r="B105" t="s">
        <v>172</v>
      </c>
      <c r="C105" s="113" t="s">
        <v>592</v>
      </c>
      <c r="D105" s="357">
        <f t="shared" si="11"/>
        <v>1.8359814649799511E-2</v>
      </c>
      <c r="E105" s="357">
        <f t="shared" si="12"/>
        <v>1.8543412796297506E-2</v>
      </c>
    </row>
    <row r="106" spans="1:8" x14ac:dyDescent="0.25">
      <c r="B106" t="s">
        <v>179</v>
      </c>
      <c r="C106" s="113" t="s">
        <v>592</v>
      </c>
      <c r="D106" s="357">
        <f t="shared" si="11"/>
        <v>7.6923076923076913E-2</v>
      </c>
      <c r="E106" s="357">
        <f t="shared" si="12"/>
        <v>7.7692307692307686E-2</v>
      </c>
    </row>
    <row r="110" spans="1:8" x14ac:dyDescent="0.25">
      <c r="A110" s="136" t="s">
        <v>742</v>
      </c>
    </row>
    <row r="111" spans="1:8" x14ac:dyDescent="0.25">
      <c r="C111" s="136" t="s">
        <v>744</v>
      </c>
    </row>
    <row r="112" spans="1:8" x14ac:dyDescent="0.25">
      <c r="A112" t="s">
        <v>743</v>
      </c>
      <c r="B112" t="s">
        <v>170</v>
      </c>
      <c r="C112" s="488">
        <f>'TNapp - Opex sheet'!C122*G112</f>
        <v>2915.8170285641577</v>
      </c>
      <c r="G112">
        <v>1.3</v>
      </c>
      <c r="H112" t="s">
        <v>1252</v>
      </c>
    </row>
    <row r="113" spans="1:5" x14ac:dyDescent="0.25">
      <c r="B113" t="s">
        <v>539</v>
      </c>
      <c r="C113" s="488">
        <f>C112</f>
        <v>2915.8170285641577</v>
      </c>
    </row>
    <row r="114" spans="1:5" x14ac:dyDescent="0.25">
      <c r="B114" t="s">
        <v>175</v>
      </c>
      <c r="C114" s="488">
        <f>'TNapp - Opex sheet'!D123*G112</f>
        <v>3179.6250364582365</v>
      </c>
    </row>
    <row r="115" spans="1:5" x14ac:dyDescent="0.25">
      <c r="B115" t="s">
        <v>540</v>
      </c>
      <c r="C115" s="488">
        <f>C114</f>
        <v>3179.6250364582365</v>
      </c>
    </row>
    <row r="116" spans="1:5" x14ac:dyDescent="0.25">
      <c r="B116" s="611" t="s">
        <v>542</v>
      </c>
      <c r="C116" s="613">
        <f>'TNapp - Opex sheet'!E122*G112</f>
        <v>4353.2059835000982</v>
      </c>
    </row>
    <row r="117" spans="1:5" x14ac:dyDescent="0.25">
      <c r="B117" s="611" t="s">
        <v>172</v>
      </c>
      <c r="C117" s="613">
        <f>'TNapp - Opex sheet'!F122*G112</f>
        <v>2764.6499224930358</v>
      </c>
    </row>
    <row r="118" spans="1:5" x14ac:dyDescent="0.25">
      <c r="A118" t="s">
        <v>777</v>
      </c>
    </row>
    <row r="119" spans="1:5" x14ac:dyDescent="0.25">
      <c r="B119" t="s">
        <v>539</v>
      </c>
      <c r="C119" s="598">
        <f>'TNapp - Capex sheet'!C74*$G$112</f>
        <v>2939.453542317674</v>
      </c>
    </row>
    <row r="120" spans="1:5" x14ac:dyDescent="0.25">
      <c r="B120" t="s">
        <v>540</v>
      </c>
      <c r="C120" s="598">
        <f>'TNapp - Capex sheet'!C75*$G$112</f>
        <v>2930.111097751032</v>
      </c>
    </row>
    <row r="121" spans="1:5" x14ac:dyDescent="0.25">
      <c r="B121" s="611" t="s">
        <v>541</v>
      </c>
      <c r="C121" s="598">
        <f>'TNapp - Capex sheet'!C73*$G$112</f>
        <v>2441.7592481258603</v>
      </c>
    </row>
    <row r="122" spans="1:5" x14ac:dyDescent="0.25">
      <c r="B122" s="611" t="s">
        <v>542</v>
      </c>
      <c r="C122" s="598">
        <f>'TNapp - Capex sheet'!C72*$G$112</f>
        <v>1799.4696669090256</v>
      </c>
    </row>
    <row r="124" spans="1:5" x14ac:dyDescent="0.25">
      <c r="A124" s="136" t="s">
        <v>745</v>
      </c>
    </row>
    <row r="125" spans="1:5" x14ac:dyDescent="0.25">
      <c r="B125" t="s">
        <v>0</v>
      </c>
      <c r="C125">
        <v>20</v>
      </c>
      <c r="D125" t="s">
        <v>747</v>
      </c>
      <c r="E125" t="s">
        <v>746</v>
      </c>
    </row>
    <row r="126" spans="1:5" x14ac:dyDescent="0.25">
      <c r="C126">
        <v>15</v>
      </c>
      <c r="D126" t="s">
        <v>749</v>
      </c>
      <c r="E126" t="s">
        <v>748</v>
      </c>
    </row>
    <row r="127" spans="1:5" x14ac:dyDescent="0.25">
      <c r="C127" s="489" t="s">
        <v>758</v>
      </c>
      <c r="D127" t="s">
        <v>759</v>
      </c>
      <c r="E127" t="s">
        <v>760</v>
      </c>
    </row>
    <row r="129" spans="1:13" x14ac:dyDescent="0.25">
      <c r="C129" s="385">
        <f>C125</f>
        <v>20</v>
      </c>
      <c r="D129" s="385" t="s">
        <v>761</v>
      </c>
      <c r="E129" s="385" t="s">
        <v>762</v>
      </c>
    </row>
    <row r="131" spans="1:13" x14ac:dyDescent="0.25">
      <c r="C131">
        <v>2007</v>
      </c>
      <c r="D131" t="s">
        <v>764</v>
      </c>
    </row>
    <row r="132" spans="1:13" x14ac:dyDescent="0.25">
      <c r="C132">
        <v>2014</v>
      </c>
      <c r="D132" t="s">
        <v>766</v>
      </c>
    </row>
    <row r="133" spans="1:13" x14ac:dyDescent="0.25">
      <c r="C133" s="136">
        <f>C129+C132</f>
        <v>2034</v>
      </c>
      <c r="D133" s="136" t="s">
        <v>765</v>
      </c>
      <c r="E133" s="136"/>
    </row>
    <row r="135" spans="1:13" x14ac:dyDescent="0.25">
      <c r="B135" t="s">
        <v>1</v>
      </c>
      <c r="C135">
        <v>20</v>
      </c>
      <c r="D135" t="s">
        <v>768</v>
      </c>
      <c r="E135" t="s">
        <v>767</v>
      </c>
    </row>
    <row r="136" spans="1:13" x14ac:dyDescent="0.25">
      <c r="C136" s="136">
        <v>2030</v>
      </c>
      <c r="D136" s="136" t="s">
        <v>769</v>
      </c>
      <c r="E136" s="136"/>
      <c r="F136" s="136"/>
    </row>
    <row r="143" spans="1:13" x14ac:dyDescent="0.25">
      <c r="D143" s="669" t="s">
        <v>1159</v>
      </c>
      <c r="E143" s="669"/>
      <c r="F143" s="669"/>
      <c r="G143" s="669"/>
      <c r="H143" s="669" t="s">
        <v>1160</v>
      </c>
      <c r="I143" s="669"/>
      <c r="J143" s="669"/>
      <c r="K143" s="669"/>
      <c r="L143" s="669"/>
      <c r="M143" s="669"/>
    </row>
    <row r="144" spans="1:13" ht="110.25" x14ac:dyDescent="0.25">
      <c r="A144" s="94"/>
      <c r="B144" s="94"/>
      <c r="C144" s="94" t="s">
        <v>677</v>
      </c>
      <c r="D144" s="592" t="s">
        <v>1161</v>
      </c>
      <c r="E144" s="592" t="s">
        <v>1162</v>
      </c>
      <c r="F144" s="592" t="s">
        <v>1163</v>
      </c>
      <c r="G144" s="592" t="s">
        <v>1178</v>
      </c>
      <c r="H144" s="592" t="s">
        <v>1164</v>
      </c>
      <c r="I144" s="592" t="s">
        <v>1165</v>
      </c>
      <c r="J144" s="592" t="s">
        <v>1166</v>
      </c>
      <c r="K144" s="592" t="s">
        <v>1167</v>
      </c>
      <c r="L144" s="593"/>
    </row>
    <row r="145" spans="1:24" ht="31.5" x14ac:dyDescent="0.25">
      <c r="A145" s="91"/>
      <c r="B145" s="91"/>
      <c r="C145" s="94"/>
      <c r="D145" s="592" t="s">
        <v>7</v>
      </c>
      <c r="E145" s="592" t="s">
        <v>9</v>
      </c>
      <c r="F145" s="592" t="s">
        <v>463</v>
      </c>
      <c r="G145" s="592" t="s">
        <v>173</v>
      </c>
      <c r="H145" s="592" t="s">
        <v>1168</v>
      </c>
      <c r="I145" s="592" t="s">
        <v>1169</v>
      </c>
      <c r="J145" s="592" t="s">
        <v>1170</v>
      </c>
      <c r="K145" s="592" t="s">
        <v>1171</v>
      </c>
      <c r="L145" s="593"/>
    </row>
    <row r="146" spans="1:24" x14ac:dyDescent="0.25">
      <c r="A146" s="678" t="s">
        <v>1176</v>
      </c>
      <c r="B146" s="594" t="s">
        <v>1177</v>
      </c>
      <c r="C146" s="594" t="s">
        <v>190</v>
      </c>
      <c r="D146" s="594">
        <f>SUMIFS($L$5:$L$9,$B$5:$B$9,D$145)</f>
        <v>4.9000000000000004</v>
      </c>
      <c r="E146" s="594">
        <f>SUMIFS($L$5:$L$9,$B$5:$B$9,E$145)</f>
        <v>1.44</v>
      </c>
      <c r="F146" s="594">
        <f>SUMIFS($L$5:$L$9,$B$5:$B$9,F$145)</f>
        <v>1.7200000000000002</v>
      </c>
      <c r="G146" s="594">
        <f>SUMIFS($L$5:$L$9,$B$5:$B$9,G$145)</f>
        <v>1.2400000000000002</v>
      </c>
      <c r="H146" s="594"/>
      <c r="I146" s="594"/>
      <c r="J146" s="594"/>
      <c r="K146" s="594"/>
      <c r="L146" s="595"/>
    </row>
    <row r="147" spans="1:24" x14ac:dyDescent="0.25">
      <c r="A147" s="679"/>
      <c r="B147" s="594" t="s">
        <v>932</v>
      </c>
      <c r="C147" s="596" t="s">
        <v>265</v>
      </c>
      <c r="D147" s="602">
        <v>0.9</v>
      </c>
      <c r="E147" s="602">
        <v>0.9</v>
      </c>
      <c r="F147" s="602">
        <v>0.9</v>
      </c>
      <c r="G147" s="602">
        <v>0.9</v>
      </c>
      <c r="H147" s="602">
        <v>0.9</v>
      </c>
      <c r="I147" s="602">
        <v>0.9</v>
      </c>
      <c r="J147" s="602">
        <v>0.9</v>
      </c>
      <c r="K147" s="602">
        <v>0.9</v>
      </c>
      <c r="L147" s="595"/>
    </row>
    <row r="148" spans="1:24" x14ac:dyDescent="0.25">
      <c r="A148" s="679"/>
      <c r="B148" s="594" t="s">
        <v>1173</v>
      </c>
      <c r="C148" s="594"/>
      <c r="D148" s="601">
        <v>2034</v>
      </c>
      <c r="E148" s="601">
        <v>2034</v>
      </c>
      <c r="F148" s="601">
        <v>2030</v>
      </c>
      <c r="G148" s="601">
        <v>2030</v>
      </c>
      <c r="H148" s="598"/>
      <c r="I148" s="598"/>
      <c r="J148" s="598"/>
      <c r="K148" s="598"/>
      <c r="L148" s="598"/>
    </row>
    <row r="149" spans="1:24" x14ac:dyDescent="0.25">
      <c r="A149" s="679"/>
      <c r="B149" s="594" t="s">
        <v>912</v>
      </c>
      <c r="C149" s="594" t="s">
        <v>1175</v>
      </c>
      <c r="D149" s="597"/>
      <c r="E149" s="597"/>
      <c r="F149" s="597"/>
      <c r="G149" s="597"/>
      <c r="H149" s="612">
        <f>C119</f>
        <v>2939.453542317674</v>
      </c>
      <c r="I149" s="612">
        <f>C120</f>
        <v>2930.111097751032</v>
      </c>
      <c r="J149" s="612">
        <f>C121</f>
        <v>2441.7592481258603</v>
      </c>
      <c r="K149" s="133">
        <f>C122</f>
        <v>1799.4696669090256</v>
      </c>
      <c r="L149" s="598"/>
    </row>
    <row r="150" spans="1:24" x14ac:dyDescent="0.25">
      <c r="A150" s="679"/>
      <c r="B150" s="594" t="s">
        <v>1174</v>
      </c>
      <c r="C150" s="594" t="s">
        <v>946</v>
      </c>
      <c r="D150" s="597">
        <f>C112</f>
        <v>2915.8170285641577</v>
      </c>
      <c r="E150" s="597">
        <f>C114</f>
        <v>3179.6250364582365</v>
      </c>
      <c r="F150" s="597">
        <f>C116</f>
        <v>4353.2059835000982</v>
      </c>
      <c r="G150" s="597">
        <f>C117</f>
        <v>2764.6499224930358</v>
      </c>
      <c r="H150" s="133">
        <f>D150</f>
        <v>2915.8170285641577</v>
      </c>
      <c r="I150" s="612">
        <f>E150</f>
        <v>3179.6250364582365</v>
      </c>
      <c r="J150" s="612">
        <f>I150</f>
        <v>3179.6250364582365</v>
      </c>
      <c r="K150" s="612">
        <f>F150</f>
        <v>4353.2059835000982</v>
      </c>
      <c r="L150" s="598"/>
    </row>
    <row r="151" spans="1:24" x14ac:dyDescent="0.25">
      <c r="A151" s="680"/>
      <c r="B151" s="594" t="s">
        <v>745</v>
      </c>
      <c r="C151" s="594" t="s">
        <v>747</v>
      </c>
      <c r="D151" s="597"/>
      <c r="E151" s="597"/>
      <c r="F151" s="597"/>
      <c r="G151" s="597"/>
      <c r="H151" s="601">
        <v>20</v>
      </c>
      <c r="I151" s="601">
        <v>20</v>
      </c>
      <c r="J151" s="601">
        <v>20</v>
      </c>
      <c r="K151" s="601">
        <v>20</v>
      </c>
      <c r="L151" s="598"/>
      <c r="S151" t="s">
        <v>1179</v>
      </c>
    </row>
    <row r="152" spans="1:24" x14ac:dyDescent="0.25">
      <c r="A152" s="599"/>
      <c r="B152" s="599"/>
      <c r="C152" s="599"/>
      <c r="D152" s="599"/>
      <c r="E152" s="599"/>
      <c r="F152" s="599"/>
      <c r="G152" s="599"/>
      <c r="H152" s="599"/>
      <c r="I152" s="599"/>
      <c r="J152" s="599"/>
      <c r="K152" s="599"/>
      <c r="L152" s="600"/>
    </row>
    <row r="153" spans="1:24" x14ac:dyDescent="0.25">
      <c r="A153" s="678" t="s">
        <v>233</v>
      </c>
      <c r="B153" s="594" t="s">
        <v>13</v>
      </c>
      <c r="C153" s="596" t="s">
        <v>149</v>
      </c>
      <c r="D153" s="597">
        <f>SUMIFS($R$154:$X$154,$R$153:$X$153,$B153)</f>
        <v>4.3302170790299686</v>
      </c>
      <c r="E153" s="597">
        <f>SUMIFS($R$155:$X$155,$R$153:$X$153,$B153)</f>
        <v>20.596584135938251</v>
      </c>
      <c r="F153" s="597">
        <f>SUMIFS($R$156:$X$156,$R$153:$X$153,$B153)</f>
        <v>0</v>
      </c>
      <c r="G153" s="597">
        <f>SUMIFS($R$157:$X$157,$R$153:$X$153,$B153)</f>
        <v>17.2</v>
      </c>
      <c r="H153" s="597">
        <f t="shared" ref="H153:I157" si="13">D153</f>
        <v>4.3302170790299686</v>
      </c>
      <c r="I153" s="597">
        <f t="shared" si="13"/>
        <v>20.596584135938251</v>
      </c>
      <c r="J153" s="597"/>
      <c r="K153" s="597">
        <f>F153</f>
        <v>0</v>
      </c>
      <c r="L153" s="595"/>
      <c r="Q153" s="12"/>
      <c r="R153" s="150" t="s">
        <v>13</v>
      </c>
      <c r="S153" s="150" t="s">
        <v>14</v>
      </c>
      <c r="T153" s="150" t="s">
        <v>11</v>
      </c>
      <c r="U153" s="150" t="s">
        <v>455</v>
      </c>
      <c r="V153" s="150" t="s">
        <v>154</v>
      </c>
      <c r="W153" s="150" t="s">
        <v>201</v>
      </c>
      <c r="X153" s="150" t="s">
        <v>325</v>
      </c>
    </row>
    <row r="154" spans="1:24" x14ac:dyDescent="0.25">
      <c r="A154" s="679"/>
      <c r="B154" s="594" t="s">
        <v>11</v>
      </c>
      <c r="C154" s="596" t="s">
        <v>149</v>
      </c>
      <c r="D154" s="597">
        <f>SUMIFS($R$154:$X$154,$R$153:$X$153,$B154)</f>
        <v>8.8757836125478331</v>
      </c>
      <c r="E154" s="597">
        <f>SUMIFS($R$155:$X$155,$R$153:$X$153,$B154)</f>
        <v>0</v>
      </c>
      <c r="F154" s="597">
        <f>SUMIFS($R$156:$X$156,$R$153:$X$153,$B154)</f>
        <v>0</v>
      </c>
      <c r="G154" s="597">
        <f>SUMIFS($R$157:$X$157,$R$153:$X$153,$B154)</f>
        <v>2.6</v>
      </c>
      <c r="H154" s="597">
        <f t="shared" si="13"/>
        <v>8.8757836125478331</v>
      </c>
      <c r="I154" s="597">
        <f t="shared" si="13"/>
        <v>0</v>
      </c>
      <c r="J154" s="597"/>
      <c r="K154" s="597">
        <f>F154</f>
        <v>0</v>
      </c>
      <c r="L154" s="595"/>
      <c r="Q154" s="131" t="s">
        <v>7</v>
      </c>
      <c r="R154" s="439">
        <f>'Energy Intensity'!E99</f>
        <v>4.3302170790299686</v>
      </c>
      <c r="S154" s="439">
        <f>'Energy Intensity'!F99</f>
        <v>2.0996782148442206</v>
      </c>
      <c r="T154" s="439">
        <f>'Energy Intensity'!G99</f>
        <v>8.8757836125478331</v>
      </c>
      <c r="U154" s="439">
        <f>'Energy Intensity'!H99</f>
        <v>0</v>
      </c>
      <c r="V154" s="439">
        <f>'Energy Intensity'!I99</f>
        <v>0.59433505502672301</v>
      </c>
      <c r="W154" s="439">
        <f>'Energy Intensity'!J99</f>
        <v>0.52655646169147485</v>
      </c>
      <c r="X154" s="439">
        <f>'Energy Intensity'!K99</f>
        <v>0</v>
      </c>
    </row>
    <row r="155" spans="1:24" x14ac:dyDescent="0.25">
      <c r="A155" s="679"/>
      <c r="B155" s="20" t="s">
        <v>201</v>
      </c>
      <c r="C155" s="596" t="s">
        <v>149</v>
      </c>
      <c r="D155" s="597">
        <f>SUMIFS($R$154:$X$154,$R$153:$X$153,$B155)</f>
        <v>0.52655646169147485</v>
      </c>
      <c r="E155" s="597">
        <f>SUMIFS($R$155:$X$155,$R$153:$X$153,$B155)</f>
        <v>2.2897460751661631</v>
      </c>
      <c r="F155" s="597">
        <f>SUMIFS($R$156:$X$156,$R$153:$X$153,$B155)</f>
        <v>0.69427752927902087</v>
      </c>
      <c r="G155" s="597">
        <f>SUMIFS($R$157:$X$157,$R$153:$X$153,$B155)</f>
        <v>0.406700668706789</v>
      </c>
      <c r="H155" s="597">
        <f t="shared" si="13"/>
        <v>0.52655646169147485</v>
      </c>
      <c r="I155" s="597">
        <f t="shared" si="13"/>
        <v>2.2897460751661631</v>
      </c>
      <c r="J155" s="597">
        <v>16</v>
      </c>
      <c r="K155" s="597">
        <f>F155</f>
        <v>0.69427752927902087</v>
      </c>
      <c r="L155" s="595"/>
      <c r="Q155" s="131" t="s">
        <v>176</v>
      </c>
      <c r="R155" s="439">
        <f>'Energy Intensity'!E100</f>
        <v>20.596584135938251</v>
      </c>
      <c r="S155" s="439">
        <f>'Energy Intensity'!F100</f>
        <v>4.8574938650306745</v>
      </c>
      <c r="T155" s="439">
        <f>'Energy Intensity'!G100</f>
        <v>0</v>
      </c>
      <c r="U155" s="439">
        <f>'Energy Intensity'!H100</f>
        <v>0</v>
      </c>
      <c r="V155" s="439">
        <f>'Energy Intensity'!I100</f>
        <v>0</v>
      </c>
      <c r="W155" s="439">
        <f>'Energy Intensity'!J100</f>
        <v>2.2897460751661631</v>
      </c>
      <c r="X155" s="439">
        <f>'Energy Intensity'!K100</f>
        <v>0</v>
      </c>
    </row>
    <row r="156" spans="1:24" x14ac:dyDescent="0.25">
      <c r="A156" s="679"/>
      <c r="B156" s="20" t="s">
        <v>154</v>
      </c>
      <c r="C156" s="596" t="s">
        <v>149</v>
      </c>
      <c r="D156" s="597">
        <f>SUMIFS($R$154:$X$154,$R$153:$X$153,$B156)</f>
        <v>0.59433505502672301</v>
      </c>
      <c r="E156" s="597">
        <f>SUMIFS($R$155:$X$155,$R$153:$X$153,$B156)</f>
        <v>0</v>
      </c>
      <c r="F156" s="597">
        <f>SUMIFS($R$156:$X$156,$R$153:$X$153,$B156)</f>
        <v>0.70602057094563631</v>
      </c>
      <c r="G156" s="597">
        <f>SUMIFS($R$157:$X$157,$R$153:$X$153,$B156)</f>
        <v>0.21697550364662166</v>
      </c>
      <c r="H156" s="597">
        <f t="shared" si="13"/>
        <v>0.59433505502672301</v>
      </c>
      <c r="I156" s="597">
        <f t="shared" si="13"/>
        <v>0</v>
      </c>
      <c r="J156" s="597"/>
      <c r="K156" s="597">
        <f>F156</f>
        <v>0.70602057094563631</v>
      </c>
      <c r="L156" s="595"/>
      <c r="Q156" s="131" t="s">
        <v>463</v>
      </c>
      <c r="R156" s="439">
        <f>'Energy Intensity'!E101</f>
        <v>0</v>
      </c>
      <c r="S156" s="439">
        <f>'Energy Intensity'!F101</f>
        <v>4.0884341801385684</v>
      </c>
      <c r="T156" s="439">
        <f>'Energy Intensity'!G101</f>
        <v>0</v>
      </c>
      <c r="U156" s="439">
        <f>'Energy Intensity'!H101</f>
        <v>0</v>
      </c>
      <c r="V156" s="439">
        <f>'Energy Intensity'!I101</f>
        <v>0.70602057094563631</v>
      </c>
      <c r="W156" s="439">
        <f>'Energy Intensity'!J101</f>
        <v>0.69427752927902087</v>
      </c>
      <c r="X156" s="439">
        <f>'Energy Intensity'!K101</f>
        <v>0</v>
      </c>
    </row>
    <row r="157" spans="1:24" x14ac:dyDescent="0.25">
      <c r="A157" s="679"/>
      <c r="B157" s="594" t="s">
        <v>14</v>
      </c>
      <c r="C157" s="596" t="s">
        <v>149</v>
      </c>
      <c r="D157" s="597">
        <f>SUMIFS($R$154:$X$154,$R$153:$X$153,$B157)</f>
        <v>2.0996782148442206</v>
      </c>
      <c r="E157" s="597">
        <f>SUMIFS($R$155:$X$155,$R$153:$X$153,$B157)</f>
        <v>4.8574938650306745</v>
      </c>
      <c r="F157" s="597">
        <f>SUMIFS($R$156:$X$156,$R$153:$X$153,$B157)</f>
        <v>4.0884341801385684</v>
      </c>
      <c r="G157" s="597">
        <f>SUMIFS($R$157:$X$157,$R$153:$X$153,$B157)</f>
        <v>1.728</v>
      </c>
      <c r="H157" s="597">
        <f t="shared" si="13"/>
        <v>2.0996782148442206</v>
      </c>
      <c r="I157" s="597">
        <f t="shared" si="13"/>
        <v>4.8574938650306745</v>
      </c>
      <c r="J157" s="597">
        <f>E157</f>
        <v>4.8574938650306745</v>
      </c>
      <c r="K157" s="597">
        <f>F157</f>
        <v>4.0884341801385684</v>
      </c>
      <c r="L157" s="595"/>
      <c r="Q157" s="131" t="s">
        <v>98</v>
      </c>
      <c r="R157" s="439">
        <f>'Energy Intensity'!E102</f>
        <v>17.2</v>
      </c>
      <c r="S157" s="439">
        <f>'Energy Intensity'!F102</f>
        <v>1.728</v>
      </c>
      <c r="T157" s="439">
        <f>'Energy Intensity'!G102</f>
        <v>2.6</v>
      </c>
      <c r="U157" s="439">
        <f>'Energy Intensity'!H102</f>
        <v>0</v>
      </c>
      <c r="V157" s="439">
        <f>'Energy Intensity'!I102</f>
        <v>0.21697550364662166</v>
      </c>
      <c r="W157" s="439">
        <f>'Energy Intensity'!J102</f>
        <v>0.406700668706789</v>
      </c>
      <c r="X157" s="439">
        <f>'Energy Intensity'!K102</f>
        <v>0</v>
      </c>
    </row>
    <row r="158" spans="1:24" x14ac:dyDescent="0.25">
      <c r="A158" s="680"/>
      <c r="B158" s="604" t="s">
        <v>1172</v>
      </c>
      <c r="C158" s="605" t="s">
        <v>149</v>
      </c>
      <c r="D158" s="603">
        <f t="shared" ref="D158:K158" si="14">SUM(D153:D157)</f>
        <v>16.426570423140223</v>
      </c>
      <c r="E158" s="603">
        <f t="shared" si="14"/>
        <v>27.743824076135091</v>
      </c>
      <c r="F158" s="603">
        <f t="shared" si="14"/>
        <v>5.4887322803632257</v>
      </c>
      <c r="G158" s="603">
        <f t="shared" si="14"/>
        <v>22.151676172353415</v>
      </c>
      <c r="H158" s="603">
        <f t="shared" si="14"/>
        <v>16.426570423140223</v>
      </c>
      <c r="I158" s="603">
        <f t="shared" si="14"/>
        <v>27.743824076135091</v>
      </c>
      <c r="J158" s="603">
        <f t="shared" si="14"/>
        <v>20.857493865030676</v>
      </c>
      <c r="K158" s="603">
        <f t="shared" si="14"/>
        <v>5.4887322803632257</v>
      </c>
      <c r="L158" s="594"/>
      <c r="Q158" s="448" t="s">
        <v>18</v>
      </c>
      <c r="R158" s="439">
        <f>'Energy Intensity'!E103</f>
        <v>20.61</v>
      </c>
      <c r="S158" s="439">
        <f>'Energy Intensity'!F103</f>
        <v>20.61</v>
      </c>
      <c r="T158" s="439">
        <f>'Energy Intensity'!G103</f>
        <v>0</v>
      </c>
      <c r="U158" s="439">
        <f>'Energy Intensity'!H103</f>
        <v>0</v>
      </c>
      <c r="V158" s="439">
        <f>'Energy Intensity'!I103</f>
        <v>0</v>
      </c>
      <c r="W158" s="439">
        <f>'Energy Intensity'!J103</f>
        <v>3.4349999999999996</v>
      </c>
      <c r="X158" s="439">
        <f>'Energy Intensity'!K103</f>
        <v>0</v>
      </c>
    </row>
    <row r="159" spans="1:24" x14ac:dyDescent="0.25">
      <c r="A159" s="599"/>
      <c r="B159" s="599"/>
      <c r="C159" s="599"/>
      <c r="D159" s="599"/>
      <c r="E159" s="599"/>
      <c r="F159" s="599"/>
      <c r="G159" s="599"/>
      <c r="H159" s="599"/>
      <c r="I159" s="599"/>
      <c r="J159" s="599"/>
      <c r="K159" s="599"/>
      <c r="L159" s="600"/>
    </row>
    <row r="160" spans="1:24" x14ac:dyDescent="0.25">
      <c r="A160" s="615" t="s">
        <v>394</v>
      </c>
      <c r="B160" s="594" t="s">
        <v>1180</v>
      </c>
      <c r="C160" s="594" t="s">
        <v>1181</v>
      </c>
      <c r="D160" s="594">
        <f>C36</f>
        <v>2.81</v>
      </c>
      <c r="E160" s="594">
        <f>C38</f>
        <v>1.605</v>
      </c>
      <c r="F160" s="594">
        <f>C40</f>
        <v>0.08</v>
      </c>
      <c r="G160" s="594">
        <f>C37</f>
        <v>2.1267142857142858</v>
      </c>
      <c r="H160" s="594">
        <f>D160</f>
        <v>2.81</v>
      </c>
      <c r="I160" s="594">
        <f>E160</f>
        <v>1.605</v>
      </c>
      <c r="J160" s="594">
        <f>E160</f>
        <v>1.605</v>
      </c>
      <c r="K160" s="594">
        <f>F160</f>
        <v>0.08</v>
      </c>
      <c r="L160" s="594"/>
    </row>
    <row r="162" spans="4:20" x14ac:dyDescent="0.25">
      <c r="R162" t="s">
        <v>1255</v>
      </c>
    </row>
    <row r="163" spans="4:20" x14ac:dyDescent="0.25">
      <c r="D163" s="594"/>
      <c r="R163" t="s">
        <v>9</v>
      </c>
    </row>
    <row r="164" spans="4:20" x14ac:dyDescent="0.25">
      <c r="R164" t="s">
        <v>1256</v>
      </c>
      <c r="T164">
        <v>16.899999999999999</v>
      </c>
    </row>
    <row r="165" spans="4:20" x14ac:dyDescent="0.25">
      <c r="R165" t="s">
        <v>14</v>
      </c>
      <c r="T165">
        <v>0.9</v>
      </c>
    </row>
    <row r="166" spans="4:20" x14ac:dyDescent="0.25">
      <c r="R166" t="s">
        <v>1257</v>
      </c>
      <c r="T166">
        <v>16</v>
      </c>
    </row>
  </sheetData>
  <mergeCells count="4">
    <mergeCell ref="D143:G143"/>
    <mergeCell ref="H143:M143"/>
    <mergeCell ref="A146:A151"/>
    <mergeCell ref="A153:A158"/>
  </mergeCells>
  <pageMargins left="0.7" right="0.7" top="0.75" bottom="0.75" header="0.3" footer="0.3"/>
  <pageSetup orientation="portrait" horizontalDpi="1200" verticalDpi="1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6212D-E798-4E60-A24C-B7D1B3FE092C}">
  <sheetPr>
    <tabColor theme="1" tint="0.34998626667073579"/>
  </sheetPr>
  <dimension ref="B2:AB133"/>
  <sheetViews>
    <sheetView topLeftCell="A61" zoomScale="70" zoomScaleNormal="70" workbookViewId="0">
      <selection activeCell="Q103" sqref="Q103"/>
    </sheetView>
  </sheetViews>
  <sheetFormatPr defaultRowHeight="15" x14ac:dyDescent="0.25"/>
  <cols>
    <col min="2" max="2" width="26.28515625" customWidth="1"/>
    <col min="3" max="3" width="11.85546875" bestFit="1" customWidth="1"/>
    <col min="4" max="4" width="10" bestFit="1" customWidth="1"/>
    <col min="5" max="5" width="11.140625" bestFit="1" customWidth="1"/>
    <col min="6" max="6" width="10.5703125" bestFit="1" customWidth="1"/>
    <col min="7" max="7" width="10.85546875" bestFit="1" customWidth="1"/>
    <col min="8" max="8" width="10.140625" bestFit="1" customWidth="1"/>
    <col min="9" max="9" width="11.140625" bestFit="1" customWidth="1"/>
    <col min="10" max="11" width="9.5703125" bestFit="1" customWidth="1"/>
    <col min="12" max="12" width="13.28515625" bestFit="1" customWidth="1"/>
    <col min="16" max="16" width="16.5703125" customWidth="1"/>
    <col min="18" max="18" width="10.5703125" bestFit="1" customWidth="1"/>
    <col min="20" max="20" width="11.5703125" customWidth="1"/>
    <col min="21" max="21" width="10" bestFit="1" customWidth="1"/>
  </cols>
  <sheetData>
    <row r="2" spans="2:24" x14ac:dyDescent="0.25">
      <c r="P2" t="s">
        <v>457</v>
      </c>
    </row>
    <row r="3" spans="2:24" x14ac:dyDescent="0.25">
      <c r="B3" t="s">
        <v>416</v>
      </c>
      <c r="P3" t="s">
        <v>458</v>
      </c>
    </row>
    <row r="4" spans="2:24" x14ac:dyDescent="0.25">
      <c r="B4" s="15"/>
      <c r="C4" s="16"/>
      <c r="D4" s="16"/>
      <c r="E4" s="16"/>
      <c r="F4" s="16"/>
      <c r="G4" s="16"/>
      <c r="H4" s="16"/>
      <c r="I4" s="16"/>
      <c r="J4" s="16"/>
      <c r="K4" s="16"/>
      <c r="L4" s="3"/>
      <c r="P4" s="15" t="s">
        <v>453</v>
      </c>
      <c r="Q4" s="16"/>
      <c r="R4" s="16"/>
      <c r="S4" s="16"/>
      <c r="T4" s="16"/>
      <c r="U4" s="16"/>
      <c r="V4" s="16"/>
      <c r="W4" s="16"/>
      <c r="X4" s="3"/>
    </row>
    <row r="5" spans="2:24" x14ac:dyDescent="0.25">
      <c r="B5" s="4"/>
      <c r="C5" s="12"/>
      <c r="D5" s="12"/>
      <c r="E5" s="12"/>
      <c r="F5" s="12"/>
      <c r="G5" s="12"/>
      <c r="H5" s="12"/>
      <c r="I5" s="12"/>
      <c r="J5" s="12"/>
      <c r="K5" s="12"/>
      <c r="L5" s="5"/>
      <c r="P5" s="4"/>
      <c r="Q5" s="12" t="s">
        <v>454</v>
      </c>
      <c r="R5" s="12" t="s">
        <v>14</v>
      </c>
      <c r="S5" s="12" t="s">
        <v>12</v>
      </c>
      <c r="T5" s="12" t="s">
        <v>455</v>
      </c>
      <c r="U5" s="12" t="s">
        <v>154</v>
      </c>
      <c r="V5" s="12" t="s">
        <v>456</v>
      </c>
      <c r="W5" s="12" t="s">
        <v>325</v>
      </c>
      <c r="X5" s="5" t="s">
        <v>3</v>
      </c>
    </row>
    <row r="6" spans="2:24" ht="15.75" x14ac:dyDescent="0.25">
      <c r="B6" s="370"/>
      <c r="C6" s="26"/>
      <c r="D6" s="26" t="s">
        <v>7</v>
      </c>
      <c r="E6" s="26" t="s">
        <v>9</v>
      </c>
      <c r="F6" s="26"/>
      <c r="G6" s="26" t="s">
        <v>8</v>
      </c>
      <c r="H6" s="26" t="s">
        <v>139</v>
      </c>
      <c r="I6" s="26" t="s">
        <v>10</v>
      </c>
      <c r="J6" s="12"/>
      <c r="K6" s="12"/>
      <c r="L6" s="5"/>
      <c r="P6" s="4" t="s">
        <v>459</v>
      </c>
      <c r="Q6" s="386">
        <v>9.7324443858011449</v>
      </c>
      <c r="R6" s="386">
        <v>5.4098168519259584</v>
      </c>
      <c r="S6" s="386">
        <v>8.4486477066739596</v>
      </c>
      <c r="T6" s="386">
        <v>0</v>
      </c>
      <c r="U6" s="386">
        <v>0.59433505502672301</v>
      </c>
      <c r="V6" s="386">
        <v>0.52655646169147485</v>
      </c>
      <c r="W6" s="386">
        <v>0</v>
      </c>
      <c r="X6" s="387">
        <v>24.71180046111926</v>
      </c>
    </row>
    <row r="7" spans="2:24" ht="15.75" x14ac:dyDescent="0.25">
      <c r="B7" s="371" t="s">
        <v>140</v>
      </c>
      <c r="C7" s="28" t="s">
        <v>13</v>
      </c>
      <c r="D7" s="57"/>
      <c r="E7" s="57"/>
      <c r="F7" s="57"/>
      <c r="G7" s="57"/>
      <c r="H7" s="57">
        <v>17.2</v>
      </c>
      <c r="I7" s="57"/>
      <c r="J7" s="12"/>
      <c r="K7" s="12"/>
      <c r="L7" s="5"/>
      <c r="P7" s="4"/>
      <c r="Q7" s="12"/>
      <c r="R7" s="12"/>
      <c r="S7" s="12"/>
      <c r="T7" s="12"/>
      <c r="U7" s="12"/>
      <c r="V7" s="12"/>
      <c r="W7" s="12"/>
      <c r="X7" s="5"/>
    </row>
    <row r="8" spans="2:24" ht="15.75" x14ac:dyDescent="0.25">
      <c r="B8" s="370"/>
      <c r="C8" s="28" t="s">
        <v>11</v>
      </c>
      <c r="D8" s="57"/>
      <c r="E8" s="57"/>
      <c r="F8" s="57"/>
      <c r="G8" s="57"/>
      <c r="H8" s="57">
        <v>2.6</v>
      </c>
      <c r="I8" s="57"/>
      <c r="J8" s="12"/>
      <c r="K8" s="12"/>
      <c r="L8" s="5"/>
      <c r="P8" s="388" t="s">
        <v>460</v>
      </c>
      <c r="Q8" s="12"/>
      <c r="R8" s="12"/>
      <c r="S8" s="12"/>
      <c r="T8" s="12"/>
      <c r="U8" s="12"/>
      <c r="V8" s="12"/>
      <c r="W8" s="12"/>
      <c r="X8" s="5"/>
    </row>
    <row r="9" spans="2:24" ht="15.75" x14ac:dyDescent="0.25">
      <c r="B9" s="370"/>
      <c r="C9" s="28" t="s">
        <v>14</v>
      </c>
      <c r="D9" s="57"/>
      <c r="E9" s="57"/>
      <c r="F9" s="57"/>
      <c r="G9" s="57"/>
      <c r="H9" s="57">
        <v>4.3499999999999996</v>
      </c>
      <c r="I9" s="57"/>
      <c r="J9" s="12"/>
      <c r="K9" s="12"/>
      <c r="L9" s="5"/>
      <c r="P9" s="4"/>
      <c r="Q9" s="12"/>
      <c r="R9" s="12"/>
      <c r="S9" s="12"/>
      <c r="T9" s="12"/>
      <c r="U9" s="12"/>
      <c r="V9" s="12"/>
      <c r="W9" s="12"/>
      <c r="X9" s="5"/>
    </row>
    <row r="10" spans="2:24" ht="15.75" x14ac:dyDescent="0.25">
      <c r="B10" s="370"/>
      <c r="C10" s="28" t="s">
        <v>133</v>
      </c>
      <c r="D10" s="57"/>
      <c r="E10" s="57"/>
      <c r="F10" s="57"/>
      <c r="G10" s="57"/>
      <c r="H10" s="57">
        <v>0.91</v>
      </c>
      <c r="I10" s="57"/>
      <c r="J10" s="12"/>
      <c r="K10" s="12"/>
      <c r="L10" s="5"/>
      <c r="P10" s="4"/>
      <c r="Q10" s="12" t="s">
        <v>454</v>
      </c>
      <c r="R10" s="12" t="s">
        <v>14</v>
      </c>
      <c r="S10" s="12" t="s">
        <v>12</v>
      </c>
      <c r="T10" s="12" t="s">
        <v>455</v>
      </c>
      <c r="U10" s="12" t="s">
        <v>154</v>
      </c>
      <c r="V10" s="12" t="s">
        <v>456</v>
      </c>
      <c r="W10" s="12" t="s">
        <v>325</v>
      </c>
      <c r="X10" s="5" t="s">
        <v>3</v>
      </c>
    </row>
    <row r="11" spans="2:24" ht="15.75" x14ac:dyDescent="0.25">
      <c r="B11" s="370"/>
      <c r="C11" s="28" t="s">
        <v>141</v>
      </c>
      <c r="D11" s="57"/>
      <c r="E11" s="57"/>
      <c r="F11" s="57"/>
      <c r="G11" s="57"/>
      <c r="H11" s="57">
        <v>0</v>
      </c>
      <c r="I11" s="57"/>
      <c r="J11" s="12"/>
      <c r="K11" s="12"/>
      <c r="L11" s="5"/>
      <c r="P11" s="4" t="s">
        <v>459</v>
      </c>
      <c r="Q11" s="12">
        <v>4.2466739383685805</v>
      </c>
      <c r="R11" s="12">
        <v>17.308347986465257</v>
      </c>
      <c r="S11" s="12">
        <v>0</v>
      </c>
      <c r="T11" s="12">
        <v>0</v>
      </c>
      <c r="U11" s="12">
        <v>0</v>
      </c>
      <c r="V11" s="12">
        <v>2.2897460751661631</v>
      </c>
      <c r="W11" s="12">
        <v>0</v>
      </c>
      <c r="X11" s="5">
        <v>23.844768000000002</v>
      </c>
    </row>
    <row r="12" spans="2:24" ht="15.75" x14ac:dyDescent="0.25">
      <c r="B12" s="370"/>
      <c r="C12" s="63" t="s">
        <v>18</v>
      </c>
      <c r="D12" s="76"/>
      <c r="E12" s="76"/>
      <c r="F12" s="76"/>
      <c r="G12" s="76"/>
      <c r="H12" s="76">
        <v>0</v>
      </c>
      <c r="I12" s="76"/>
      <c r="J12" s="12"/>
      <c r="K12" s="12"/>
      <c r="L12" s="5"/>
      <c r="P12" s="4"/>
      <c r="Q12" s="12"/>
      <c r="R12" s="12"/>
      <c r="S12" s="12"/>
      <c r="T12" s="12"/>
      <c r="U12" s="12"/>
      <c r="V12" s="12"/>
      <c r="W12" s="12"/>
      <c r="X12" s="5"/>
    </row>
    <row r="13" spans="2:24" ht="15.75" x14ac:dyDescent="0.25">
      <c r="B13" s="370"/>
      <c r="C13" s="372"/>
      <c r="D13" s="372"/>
      <c r="E13" s="372"/>
      <c r="F13" s="372"/>
      <c r="G13" s="372"/>
      <c r="H13" s="373">
        <f>SUM(H7:H12)</f>
        <v>25.06</v>
      </c>
      <c r="I13" s="372"/>
      <c r="J13" s="12"/>
      <c r="K13" s="12"/>
      <c r="L13" s="5"/>
      <c r="P13" s="4"/>
      <c r="Q13" s="12"/>
      <c r="R13" s="12"/>
      <c r="S13" s="12"/>
      <c r="T13" s="12"/>
      <c r="U13" s="12"/>
      <c r="V13" s="12"/>
      <c r="W13" s="12"/>
      <c r="X13" s="5"/>
    </row>
    <row r="14" spans="2:24" x14ac:dyDescent="0.25">
      <c r="B14" s="4"/>
      <c r="C14" s="12"/>
      <c r="D14" s="12"/>
      <c r="E14" s="12"/>
      <c r="F14" s="12"/>
      <c r="G14" s="12"/>
      <c r="H14" s="12"/>
      <c r="I14" s="12"/>
      <c r="J14" s="12"/>
      <c r="K14" s="12"/>
      <c r="L14" s="5"/>
      <c r="P14" s="4" t="s">
        <v>461</v>
      </c>
      <c r="Q14" s="12"/>
      <c r="R14" s="12"/>
      <c r="S14" s="12"/>
      <c r="T14" s="12"/>
      <c r="U14" s="12"/>
      <c r="V14" s="12"/>
      <c r="W14" s="12"/>
      <c r="X14" s="5"/>
    </row>
    <row r="15" spans="2:24" x14ac:dyDescent="0.25">
      <c r="B15" s="4"/>
      <c r="C15" s="12"/>
      <c r="D15" s="12"/>
      <c r="E15" s="12"/>
      <c r="F15" s="12"/>
      <c r="G15" s="12"/>
      <c r="H15" s="12"/>
      <c r="I15" s="12"/>
      <c r="J15" s="12"/>
      <c r="K15" s="12"/>
      <c r="L15" s="5"/>
      <c r="P15" s="4"/>
      <c r="Q15" s="12" t="s">
        <v>454</v>
      </c>
      <c r="R15" s="12" t="s">
        <v>14</v>
      </c>
      <c r="S15" s="12" t="s">
        <v>12</v>
      </c>
      <c r="T15" s="12" t="s">
        <v>455</v>
      </c>
      <c r="U15" s="12" t="s">
        <v>154</v>
      </c>
      <c r="V15" s="12" t="s">
        <v>456</v>
      </c>
      <c r="W15" s="12" t="s">
        <v>325</v>
      </c>
      <c r="X15" s="5" t="s">
        <v>3</v>
      </c>
    </row>
    <row r="16" spans="2:24" x14ac:dyDescent="0.25">
      <c r="B16" s="4"/>
      <c r="C16" s="12"/>
      <c r="D16" s="12"/>
      <c r="E16" s="12"/>
      <c r="F16" s="12"/>
      <c r="G16" s="12"/>
      <c r="H16" s="12"/>
      <c r="I16" s="12"/>
      <c r="J16" s="12"/>
      <c r="K16" s="12"/>
      <c r="L16" s="5"/>
      <c r="P16" s="4" t="s">
        <v>459</v>
      </c>
      <c r="Q16" s="12">
        <v>0</v>
      </c>
      <c r="R16" s="12">
        <v>5.9178209366664776</v>
      </c>
      <c r="S16" s="12">
        <v>0</v>
      </c>
      <c r="T16" s="12">
        <v>0</v>
      </c>
      <c r="U16" s="12">
        <v>0.70602057094563631</v>
      </c>
      <c r="V16" s="12">
        <v>0.69427752927902087</v>
      </c>
      <c r="W16" s="12">
        <v>0</v>
      </c>
      <c r="X16" s="5">
        <v>7.3181190368911349</v>
      </c>
    </row>
    <row r="17" spans="2:28" x14ac:dyDescent="0.25">
      <c r="B17" s="4"/>
      <c r="J17" s="12"/>
      <c r="K17" s="12"/>
      <c r="L17" s="5"/>
      <c r="P17" s="4"/>
      <c r="Q17" s="12"/>
      <c r="R17" s="12"/>
      <c r="S17" s="12"/>
      <c r="T17" s="12"/>
      <c r="U17" s="12"/>
      <c r="V17" s="12"/>
      <c r="W17" s="12"/>
      <c r="X17" s="5"/>
    </row>
    <row r="18" spans="2:28" ht="15.75" x14ac:dyDescent="0.25">
      <c r="B18" s="370"/>
      <c r="C18" s="12"/>
      <c r="D18" s="12"/>
      <c r="E18" s="12"/>
      <c r="F18" s="12"/>
      <c r="G18" s="12"/>
      <c r="H18" s="12"/>
      <c r="I18" s="12"/>
      <c r="J18" s="12"/>
      <c r="K18" s="12"/>
      <c r="L18" s="5"/>
      <c r="P18" s="4" t="s">
        <v>98</v>
      </c>
      <c r="Q18" s="12"/>
      <c r="R18" s="12"/>
      <c r="S18" s="12"/>
      <c r="T18" s="12"/>
      <c r="U18" s="12"/>
      <c r="V18" s="12"/>
      <c r="W18" s="12"/>
      <c r="X18" s="5"/>
    </row>
    <row r="19" spans="2:28" ht="15.75" x14ac:dyDescent="0.25">
      <c r="B19" s="374" t="s">
        <v>118</v>
      </c>
      <c r="C19" s="84"/>
      <c r="D19" s="87">
        <v>25.35938175013667</v>
      </c>
      <c r="E19" s="87">
        <v>37.448334792615</v>
      </c>
      <c r="F19" s="87"/>
      <c r="G19" s="87">
        <v>10</v>
      </c>
      <c r="H19" s="87">
        <v>27</v>
      </c>
      <c r="I19" s="87">
        <v>45.8</v>
      </c>
      <c r="J19" s="12"/>
      <c r="K19" s="12"/>
      <c r="L19" s="5"/>
      <c r="P19" s="4"/>
      <c r="Q19" s="12" t="s">
        <v>454</v>
      </c>
      <c r="R19" s="12" t="s">
        <v>14</v>
      </c>
      <c r="S19" s="12" t="s">
        <v>12</v>
      </c>
      <c r="T19" s="12" t="s">
        <v>455</v>
      </c>
      <c r="U19" s="12" t="s">
        <v>154</v>
      </c>
      <c r="V19" s="12" t="s">
        <v>456</v>
      </c>
      <c r="W19" s="12" t="s">
        <v>325</v>
      </c>
      <c r="X19" s="5" t="s">
        <v>3</v>
      </c>
    </row>
    <row r="20" spans="2:28" ht="15.75" x14ac:dyDescent="0.25">
      <c r="B20" s="375" t="s">
        <v>125</v>
      </c>
      <c r="C20" s="12"/>
      <c r="D20" s="94" t="s">
        <v>7</v>
      </c>
      <c r="E20" s="94" t="s">
        <v>9</v>
      </c>
      <c r="F20" s="94"/>
      <c r="G20" s="94" t="s">
        <v>8</v>
      </c>
      <c r="H20" s="94"/>
      <c r="I20" s="94" t="s">
        <v>10</v>
      </c>
      <c r="J20" s="12"/>
      <c r="K20" s="12"/>
      <c r="L20" s="5"/>
      <c r="P20" s="4" t="s">
        <v>459</v>
      </c>
      <c r="Q20" s="12">
        <v>10.977729217827143</v>
      </c>
      <c r="R20" s="12">
        <v>9.8647899051720884</v>
      </c>
      <c r="S20" s="12">
        <v>0</v>
      </c>
      <c r="T20" s="12">
        <v>0</v>
      </c>
      <c r="U20" s="12">
        <v>3.6723488357449594</v>
      </c>
      <c r="V20" s="12">
        <v>0.406700668706789</v>
      </c>
      <c r="W20" s="12">
        <v>0</v>
      </c>
      <c r="X20" s="5">
        <v>24.921568627450981</v>
      </c>
    </row>
    <row r="21" spans="2:28" ht="15.75" x14ac:dyDescent="0.25">
      <c r="B21" s="376" t="s">
        <v>13</v>
      </c>
      <c r="C21" s="12"/>
      <c r="D21" s="340">
        <v>0.17075404762210467</v>
      </c>
      <c r="E21" s="340">
        <v>0.55000000000000004</v>
      </c>
      <c r="F21" s="340"/>
      <c r="G21" s="340">
        <v>0</v>
      </c>
      <c r="H21" s="340">
        <v>0.44</v>
      </c>
      <c r="I21" s="340">
        <v>0.45</v>
      </c>
      <c r="J21" s="12"/>
      <c r="K21" s="12"/>
      <c r="L21" s="5"/>
      <c r="P21" s="4"/>
      <c r="Q21" s="12"/>
      <c r="R21" s="12"/>
      <c r="S21" s="12"/>
      <c r="T21" s="12"/>
      <c r="U21" s="12"/>
      <c r="V21" s="12"/>
      <c r="W21" s="12"/>
      <c r="X21" s="5"/>
    </row>
    <row r="22" spans="2:28" ht="15.75" x14ac:dyDescent="0.25">
      <c r="B22" s="376" t="s">
        <v>11</v>
      </c>
      <c r="C22" s="12"/>
      <c r="D22" s="340">
        <v>0.35</v>
      </c>
      <c r="E22" s="340">
        <v>0</v>
      </c>
      <c r="F22" s="340"/>
      <c r="G22" s="340">
        <v>0</v>
      </c>
      <c r="H22" s="340">
        <v>0.17</v>
      </c>
      <c r="I22" s="340">
        <v>0</v>
      </c>
      <c r="J22" s="12"/>
      <c r="K22" s="12"/>
      <c r="L22" s="5"/>
      <c r="P22" s="4"/>
      <c r="Q22" s="12"/>
      <c r="R22" s="12"/>
      <c r="S22" s="12"/>
      <c r="T22" s="12"/>
      <c r="U22" s="12"/>
      <c r="V22" s="12"/>
      <c r="W22" s="12"/>
      <c r="X22" s="5"/>
    </row>
    <row r="23" spans="2:28" ht="15.75" x14ac:dyDescent="0.25">
      <c r="B23" s="376" t="s">
        <v>14</v>
      </c>
      <c r="C23" s="12"/>
      <c r="D23" s="340">
        <v>0.23</v>
      </c>
      <c r="E23" s="340">
        <v>0.38</v>
      </c>
      <c r="F23" s="340"/>
      <c r="G23" s="340">
        <v>0.75</v>
      </c>
      <c r="H23" s="340">
        <v>0.33300000000000002</v>
      </c>
      <c r="I23" s="340">
        <v>0.45</v>
      </c>
      <c r="J23" s="12"/>
      <c r="K23" s="12"/>
      <c r="L23" s="5"/>
      <c r="P23" s="6" t="s">
        <v>462</v>
      </c>
      <c r="Q23" s="12"/>
      <c r="R23" s="12"/>
      <c r="S23" s="12"/>
      <c r="T23" s="12"/>
      <c r="U23" s="12"/>
      <c r="V23" s="12"/>
      <c r="W23" s="12"/>
      <c r="X23" s="5"/>
    </row>
    <row r="24" spans="2:28" ht="15.75" x14ac:dyDescent="0.25">
      <c r="B24" s="376" t="s">
        <v>133</v>
      </c>
      <c r="C24" s="12"/>
      <c r="D24" s="340">
        <v>0.245</v>
      </c>
      <c r="E24" s="340">
        <v>5.9763203629889787E-2</v>
      </c>
      <c r="F24" s="340"/>
      <c r="G24" s="340">
        <v>0.25</v>
      </c>
      <c r="H24" s="340">
        <v>5.7000000000000002E-2</v>
      </c>
      <c r="I24" s="340">
        <v>7.4999999999999997E-2</v>
      </c>
      <c r="J24" s="12"/>
      <c r="K24" s="12"/>
      <c r="L24" s="5"/>
      <c r="P24" s="6" t="s">
        <v>149</v>
      </c>
      <c r="Q24" s="12"/>
      <c r="R24" s="12"/>
      <c r="S24" s="12"/>
      <c r="T24" s="12"/>
      <c r="U24" s="12"/>
      <c r="V24" s="12"/>
      <c r="W24" s="12"/>
      <c r="X24" s="5"/>
      <c r="Z24" t="s">
        <v>544</v>
      </c>
    </row>
    <row r="25" spans="2:28" ht="15.75" x14ac:dyDescent="0.25">
      <c r="B25" s="376" t="s">
        <v>134</v>
      </c>
      <c r="C25" s="12"/>
      <c r="D25" s="340">
        <v>5.0000000000000001E-3</v>
      </c>
      <c r="E25" s="340">
        <v>0.01</v>
      </c>
      <c r="F25" s="340"/>
      <c r="G25" s="340">
        <v>0</v>
      </c>
      <c r="H25" s="340"/>
      <c r="I25" s="340">
        <v>2.5000000000000001E-2</v>
      </c>
      <c r="J25" s="12"/>
      <c r="K25" s="12"/>
      <c r="L25" s="5"/>
      <c r="P25" s="131"/>
      <c r="Q25" s="150" t="s">
        <v>454</v>
      </c>
      <c r="R25" s="150" t="s">
        <v>14</v>
      </c>
      <c r="S25" s="150" t="s">
        <v>12</v>
      </c>
      <c r="T25" s="150" t="s">
        <v>455</v>
      </c>
      <c r="U25" s="150" t="s">
        <v>154</v>
      </c>
      <c r="V25" s="150" t="s">
        <v>456</v>
      </c>
      <c r="W25" s="150" t="s">
        <v>325</v>
      </c>
      <c r="X25" s="131" t="s">
        <v>3</v>
      </c>
      <c r="Z25">
        <v>2012</v>
      </c>
      <c r="AA25">
        <v>2017</v>
      </c>
    </row>
    <row r="26" spans="2:28" x14ac:dyDescent="0.25">
      <c r="B26" s="4"/>
      <c r="C26" s="12"/>
      <c r="D26" s="12"/>
      <c r="E26" s="12"/>
      <c r="F26" s="12"/>
      <c r="G26" s="12"/>
      <c r="H26" s="12"/>
      <c r="I26" s="12"/>
      <c r="J26" s="12"/>
      <c r="K26" s="12"/>
      <c r="L26" s="5"/>
      <c r="O26">
        <f>Q26/S26</f>
        <v>1.1519529188219149</v>
      </c>
      <c r="P26" s="131" t="s">
        <v>7</v>
      </c>
      <c r="Q26" s="389">
        <f>Q6</f>
        <v>9.7324443858011449</v>
      </c>
      <c r="R26" s="389">
        <f t="shared" ref="R26:W26" si="0">R6</f>
        <v>5.4098168519259584</v>
      </c>
      <c r="S26" s="389">
        <f t="shared" si="0"/>
        <v>8.4486477066739596</v>
      </c>
      <c r="T26" s="389">
        <f t="shared" si="0"/>
        <v>0</v>
      </c>
      <c r="U26" s="389">
        <f t="shared" si="0"/>
        <v>0.59433505502672301</v>
      </c>
      <c r="V26" s="389">
        <f t="shared" si="0"/>
        <v>0.52655646169147485</v>
      </c>
      <c r="W26" s="389">
        <f t="shared" si="0"/>
        <v>0</v>
      </c>
      <c r="X26" s="390">
        <f>SUM(Q26:W26)</f>
        <v>24.71180046111926</v>
      </c>
      <c r="Z26" s="355">
        <f>'I&amp;S capacity + production'!M242</f>
        <v>3.3</v>
      </c>
      <c r="AA26" s="355">
        <f>SUMIFS('I&amp;S capacity + production'!$R$242:$R$246,'I&amp;S capacity + production'!$B$242:$B$246,AB26)</f>
        <v>3.0330810810810807</v>
      </c>
      <c r="AB26" s="144" t="s">
        <v>7</v>
      </c>
    </row>
    <row r="27" spans="2:28" x14ac:dyDescent="0.25">
      <c r="B27" s="4"/>
      <c r="C27" s="12"/>
      <c r="D27" s="12"/>
      <c r="E27" s="12"/>
      <c r="F27" s="12"/>
      <c r="G27" s="12"/>
      <c r="H27" s="12"/>
      <c r="I27" s="12"/>
      <c r="J27" s="12"/>
      <c r="K27" s="12"/>
      <c r="L27" s="5"/>
      <c r="P27" s="131" t="s">
        <v>176</v>
      </c>
      <c r="Q27" s="389">
        <f>Q11</f>
        <v>4.2466739383685805</v>
      </c>
      <c r="R27" s="389">
        <f t="shared" ref="R27:W27" si="1">R11</f>
        <v>17.308347986465257</v>
      </c>
      <c r="S27" s="389">
        <f t="shared" si="1"/>
        <v>0</v>
      </c>
      <c r="T27" s="389">
        <f t="shared" si="1"/>
        <v>0</v>
      </c>
      <c r="U27" s="389">
        <f t="shared" si="1"/>
        <v>0</v>
      </c>
      <c r="V27" s="389">
        <f t="shared" si="1"/>
        <v>2.2897460751661631</v>
      </c>
      <c r="W27" s="389">
        <f t="shared" si="1"/>
        <v>0</v>
      </c>
      <c r="X27" s="390">
        <f>SUM(Q27:W27)</f>
        <v>23.844768000000002</v>
      </c>
      <c r="Z27" s="355">
        <f>'I&amp;S capacity + production'!M243</f>
        <v>1.21</v>
      </c>
      <c r="AA27" s="355">
        <f>SUMIFS('I&amp;S capacity + production'!$R$242:$R$246,'I&amp;S capacity + production'!$B$242:$B$246,AB27)</f>
        <v>0.75891891891891894</v>
      </c>
      <c r="AB27" s="144" t="s">
        <v>9</v>
      </c>
    </row>
    <row r="28" spans="2:28" x14ac:dyDescent="0.25">
      <c r="B28" s="4"/>
      <c r="C28" s="12"/>
      <c r="D28" s="12"/>
      <c r="E28" s="12"/>
      <c r="F28" s="12"/>
      <c r="G28" s="12"/>
      <c r="H28" s="12"/>
      <c r="I28" s="12"/>
      <c r="J28" s="12"/>
      <c r="K28" s="12"/>
      <c r="L28" s="5"/>
      <c r="P28" s="131" t="s">
        <v>463</v>
      </c>
      <c r="Q28" s="389">
        <f t="shared" ref="Q28:W28" si="2">Q16</f>
        <v>0</v>
      </c>
      <c r="R28" s="389">
        <f t="shared" si="2"/>
        <v>5.9178209366664776</v>
      </c>
      <c r="S28" s="389">
        <f t="shared" si="2"/>
        <v>0</v>
      </c>
      <c r="T28" s="389">
        <f t="shared" si="2"/>
        <v>0</v>
      </c>
      <c r="U28" s="389">
        <f t="shared" si="2"/>
        <v>0.70602057094563631</v>
      </c>
      <c r="V28" s="389">
        <f t="shared" si="2"/>
        <v>0.69427752927902087</v>
      </c>
      <c r="W28" s="389">
        <f t="shared" si="2"/>
        <v>0</v>
      </c>
      <c r="X28" s="390">
        <f>SUM(Q28:W28)</f>
        <v>7.3181190368911349</v>
      </c>
      <c r="Z28" s="355">
        <f>'I&amp;S capacity + production'!M244</f>
        <v>0.95</v>
      </c>
      <c r="AA28" s="355">
        <f>SUMIFS('I&amp;S capacity + production'!$R$242:$R$246,'I&amp;S capacity + production'!$B$242:$B$246,AB28)</f>
        <v>1.3200000000000003</v>
      </c>
      <c r="AB28" s="144" t="s">
        <v>8</v>
      </c>
    </row>
    <row r="29" spans="2:28" x14ac:dyDescent="0.25">
      <c r="B29" s="4"/>
      <c r="C29" s="12"/>
      <c r="D29" s="12"/>
      <c r="E29" s="12"/>
      <c r="F29" s="12"/>
      <c r="G29" s="12"/>
      <c r="H29" s="12"/>
      <c r="I29" s="12"/>
      <c r="J29" s="12"/>
      <c r="K29" s="12"/>
      <c r="L29" s="5"/>
      <c r="P29" s="131" t="s">
        <v>98</v>
      </c>
      <c r="Q29" s="389">
        <f>Q20</f>
        <v>10.977729217827143</v>
      </c>
      <c r="R29" s="389">
        <f t="shared" ref="R29:W29" si="3">R20</f>
        <v>9.8647899051720884</v>
      </c>
      <c r="S29" s="389">
        <f>S20</f>
        <v>0</v>
      </c>
      <c r="T29" s="389">
        <f t="shared" si="3"/>
        <v>0</v>
      </c>
      <c r="U29" s="389">
        <f t="shared" si="3"/>
        <v>3.6723488357449594</v>
      </c>
      <c r="V29" s="389">
        <f t="shared" si="3"/>
        <v>0.406700668706789</v>
      </c>
      <c r="W29" s="389">
        <f t="shared" si="3"/>
        <v>0</v>
      </c>
      <c r="X29" s="390">
        <f>SUM(Q29:W29)</f>
        <v>24.921568627450981</v>
      </c>
      <c r="Z29" s="355">
        <f>'I&amp;S capacity + production'!M245</f>
        <v>0.62</v>
      </c>
      <c r="AA29" s="355">
        <f>SUMIFS('I&amp;S capacity + production'!$R$242:$R$246,'I&amp;S capacity + production'!$B$242:$B$246,AB29)</f>
        <v>1.1180000000000001</v>
      </c>
      <c r="AB29" s="144" t="s">
        <v>173</v>
      </c>
    </row>
    <row r="30" spans="2:28" x14ac:dyDescent="0.25">
      <c r="B30" s="4"/>
      <c r="C30" s="12"/>
      <c r="D30" s="12"/>
      <c r="E30" s="12"/>
      <c r="F30" s="12"/>
      <c r="G30" s="12"/>
      <c r="H30" s="12"/>
      <c r="I30" s="12"/>
      <c r="J30" s="12"/>
      <c r="K30" s="12"/>
      <c r="L30" s="5"/>
      <c r="P30" s="7"/>
      <c r="Q30" s="8"/>
      <c r="R30" s="8"/>
      <c r="S30" s="8"/>
      <c r="T30" s="8"/>
      <c r="U30" s="8"/>
      <c r="V30" s="8"/>
      <c r="W30" s="8"/>
      <c r="X30" s="9"/>
    </row>
    <row r="31" spans="2:28" x14ac:dyDescent="0.25">
      <c r="B31" s="4"/>
      <c r="C31" s="12"/>
      <c r="D31" s="12"/>
      <c r="E31" s="12"/>
      <c r="F31" s="12"/>
      <c r="G31" s="12"/>
      <c r="H31" s="12"/>
      <c r="I31" s="12"/>
      <c r="J31" s="12"/>
      <c r="K31" s="12"/>
      <c r="L31" s="5"/>
    </row>
    <row r="32" spans="2:28" x14ac:dyDescent="0.25">
      <c r="B32" s="4"/>
      <c r="C32" s="12"/>
      <c r="D32" s="12"/>
      <c r="E32" s="12"/>
      <c r="F32" s="12"/>
      <c r="G32" s="12"/>
      <c r="H32" s="12"/>
      <c r="I32" s="12"/>
      <c r="J32" s="12"/>
      <c r="K32" s="12"/>
      <c r="L32" s="5"/>
    </row>
    <row r="33" spans="2:27" ht="21" x14ac:dyDescent="0.35">
      <c r="B33" s="424" t="s">
        <v>188</v>
      </c>
      <c r="C33" s="12"/>
      <c r="D33" s="12"/>
      <c r="E33" s="12"/>
      <c r="F33" s="12"/>
      <c r="G33" s="12"/>
      <c r="H33" s="12"/>
      <c r="I33" s="12"/>
      <c r="J33" s="12"/>
      <c r="K33" s="12"/>
      <c r="L33" s="5"/>
      <c r="Q33" s="136">
        <v>2012</v>
      </c>
      <c r="Z33" t="s">
        <v>548</v>
      </c>
      <c r="AA33" t="s">
        <v>550</v>
      </c>
    </row>
    <row r="34" spans="2:27" x14ac:dyDescent="0.25">
      <c r="B34" s="4" t="s">
        <v>149</v>
      </c>
      <c r="C34" s="12"/>
      <c r="D34" s="12"/>
      <c r="E34" s="12"/>
      <c r="F34" s="12"/>
      <c r="G34" s="12"/>
      <c r="H34" s="12"/>
      <c r="I34" s="12"/>
      <c r="J34" s="12"/>
      <c r="K34" s="12"/>
      <c r="L34" s="5"/>
      <c r="P34" s="131" t="s">
        <v>7</v>
      </c>
      <c r="Q34" s="349">
        <f>Q26*$Z26</f>
        <v>32.11706647314378</v>
      </c>
      <c r="R34" s="349">
        <f t="shared" ref="R34:W34" si="4">R26*$Z26</f>
        <v>17.852395611355661</v>
      </c>
      <c r="S34" s="349">
        <f t="shared" si="4"/>
        <v>27.880537432024067</v>
      </c>
      <c r="T34" s="349">
        <f t="shared" si="4"/>
        <v>0</v>
      </c>
      <c r="U34" s="349">
        <f t="shared" si="4"/>
        <v>1.9613056815881857</v>
      </c>
      <c r="V34" s="349">
        <f t="shared" si="4"/>
        <v>1.7376363235818668</v>
      </c>
      <c r="W34" s="349">
        <f t="shared" si="4"/>
        <v>0</v>
      </c>
      <c r="Z34" t="s">
        <v>1</v>
      </c>
      <c r="AA34" s="367">
        <v>0.5</v>
      </c>
    </row>
    <row r="35" spans="2:27" ht="15.75" x14ac:dyDescent="0.25">
      <c r="B35" s="4"/>
      <c r="C35" s="12"/>
      <c r="D35" s="423" t="s">
        <v>7</v>
      </c>
      <c r="E35" s="423" t="s">
        <v>9</v>
      </c>
      <c r="F35" s="423"/>
      <c r="G35" s="423" t="s">
        <v>8</v>
      </c>
      <c r="H35" s="423" t="s">
        <v>139</v>
      </c>
      <c r="I35" s="423" t="s">
        <v>10</v>
      </c>
      <c r="J35" s="12"/>
      <c r="K35" s="12"/>
      <c r="L35" s="5"/>
      <c r="P35" s="131" t="s">
        <v>176</v>
      </c>
      <c r="Q35" s="349">
        <f t="shared" ref="Q35:W37" si="5">Q27*$Z27</f>
        <v>5.1384754654259819</v>
      </c>
      <c r="R35" s="349">
        <f t="shared" si="5"/>
        <v>20.943101063622962</v>
      </c>
      <c r="S35" s="349">
        <f t="shared" si="5"/>
        <v>0</v>
      </c>
      <c r="T35" s="349">
        <f t="shared" si="5"/>
        <v>0</v>
      </c>
      <c r="U35" s="349">
        <f t="shared" si="5"/>
        <v>0</v>
      </c>
      <c r="V35" s="349">
        <f t="shared" si="5"/>
        <v>2.7705927509510575</v>
      </c>
      <c r="W35" s="349">
        <f t="shared" si="5"/>
        <v>0</v>
      </c>
      <c r="Z35" t="s">
        <v>549</v>
      </c>
      <c r="AA35" s="367">
        <v>0.5</v>
      </c>
    </row>
    <row r="36" spans="2:27" ht="15.75" x14ac:dyDescent="0.25">
      <c r="B36" s="370" t="s">
        <v>13</v>
      </c>
      <c r="C36" s="12"/>
      <c r="D36" s="328">
        <f t="shared" ref="D36:E40" si="6">D$19*D21</f>
        <v>4.3302170790299686</v>
      </c>
      <c r="E36" s="328">
        <f>E$19*E21</f>
        <v>20.596584135938251</v>
      </c>
      <c r="F36" s="328"/>
      <c r="G36" s="328">
        <f>G$19*G21</f>
        <v>0</v>
      </c>
      <c r="H36" s="328">
        <f>H7</f>
        <v>17.2</v>
      </c>
      <c r="I36" s="328">
        <f>I$19*I21</f>
        <v>20.61</v>
      </c>
      <c r="J36" s="12"/>
      <c r="K36" s="12"/>
      <c r="L36" s="5"/>
      <c r="P36" s="131" t="s">
        <v>463</v>
      </c>
      <c r="Q36" s="349">
        <f t="shared" si="5"/>
        <v>0</v>
      </c>
      <c r="R36" s="349">
        <f t="shared" si="5"/>
        <v>5.6219298898331536</v>
      </c>
      <c r="S36" s="349">
        <f t="shared" si="5"/>
        <v>0</v>
      </c>
      <c r="T36" s="349">
        <f t="shared" si="5"/>
        <v>0</v>
      </c>
      <c r="U36" s="349">
        <f t="shared" si="5"/>
        <v>0.67071954239835441</v>
      </c>
      <c r="V36" s="349">
        <f t="shared" si="5"/>
        <v>0.65956365281506979</v>
      </c>
      <c r="W36" s="349">
        <f t="shared" si="5"/>
        <v>0</v>
      </c>
    </row>
    <row r="37" spans="2:27" ht="15.75" x14ac:dyDescent="0.25">
      <c r="B37" s="370" t="s">
        <v>11</v>
      </c>
      <c r="C37" s="12"/>
      <c r="D37" s="328">
        <f t="shared" si="6"/>
        <v>8.8757836125478331</v>
      </c>
      <c r="E37" s="328">
        <f t="shared" si="6"/>
        <v>0</v>
      </c>
      <c r="F37" s="328"/>
      <c r="G37" s="328">
        <f>G$19*G22</f>
        <v>0</v>
      </c>
      <c r="H37" s="328">
        <f>H8</f>
        <v>2.6</v>
      </c>
      <c r="I37" s="328">
        <f>I$19*I22</f>
        <v>0</v>
      </c>
      <c r="J37" s="12"/>
      <c r="K37" s="12"/>
      <c r="L37" s="5"/>
      <c r="P37" s="131" t="s">
        <v>98</v>
      </c>
      <c r="Q37" s="349">
        <f t="shared" si="5"/>
        <v>6.8061921150528288</v>
      </c>
      <c r="R37" s="349">
        <f t="shared" si="5"/>
        <v>6.1161697412066944</v>
      </c>
      <c r="S37" s="349">
        <f t="shared" si="5"/>
        <v>0</v>
      </c>
      <c r="T37" s="349">
        <f t="shared" si="5"/>
        <v>0</v>
      </c>
      <c r="U37" s="349">
        <f t="shared" si="5"/>
        <v>2.2768562781618749</v>
      </c>
      <c r="V37" s="349">
        <f t="shared" si="5"/>
        <v>0.2521544145982092</v>
      </c>
      <c r="W37" s="349">
        <f t="shared" si="5"/>
        <v>0</v>
      </c>
    </row>
    <row r="38" spans="2:27" ht="15.75" x14ac:dyDescent="0.25">
      <c r="B38" s="370" t="s">
        <v>14</v>
      </c>
      <c r="C38" s="12"/>
      <c r="D38" s="328">
        <f t="shared" si="6"/>
        <v>5.8326578025314344</v>
      </c>
      <c r="E38" s="328">
        <f t="shared" si="6"/>
        <v>14.230367221193701</v>
      </c>
      <c r="F38" s="328"/>
      <c r="G38" s="328">
        <f>G$19*G23</f>
        <v>7.5</v>
      </c>
      <c r="H38" s="328">
        <f>H9</f>
        <v>4.3499999999999996</v>
      </c>
      <c r="I38" s="328">
        <f>I$19*I23</f>
        <v>20.61</v>
      </c>
      <c r="J38" s="12"/>
      <c r="K38" s="12"/>
      <c r="L38" s="5"/>
      <c r="Q38" s="358">
        <f>SUM(Q34:Q37)</f>
        <v>44.061734053622594</v>
      </c>
      <c r="R38" s="358">
        <f t="shared" ref="R38:W38" si="7">SUM(R34:R37)</f>
        <v>50.533596306018474</v>
      </c>
      <c r="S38" s="358">
        <f t="shared" si="7"/>
        <v>27.880537432024067</v>
      </c>
      <c r="T38" s="358">
        <f t="shared" si="7"/>
        <v>0</v>
      </c>
      <c r="U38" s="358">
        <f t="shared" si="7"/>
        <v>4.9088815021484145</v>
      </c>
      <c r="V38" s="358">
        <f t="shared" si="7"/>
        <v>5.4199471419462029</v>
      </c>
      <c r="W38" s="358">
        <f t="shared" si="7"/>
        <v>0</v>
      </c>
    </row>
    <row r="39" spans="2:27" ht="15.75" x14ac:dyDescent="0.25">
      <c r="B39" s="370" t="s">
        <v>133</v>
      </c>
      <c r="C39" s="12"/>
      <c r="D39" s="328">
        <f t="shared" si="6"/>
        <v>6.2130485287834842</v>
      </c>
      <c r="E39" s="328">
        <f t="shared" si="6"/>
        <v>2.2380324578113369</v>
      </c>
      <c r="F39" s="328"/>
      <c r="G39" s="328">
        <f>G$19*G24</f>
        <v>2.5</v>
      </c>
      <c r="H39" s="328">
        <f>H10</f>
        <v>0.91</v>
      </c>
      <c r="I39" s="328">
        <f>I$19*I24</f>
        <v>3.4349999999999996</v>
      </c>
      <c r="J39" s="12"/>
      <c r="K39" s="12"/>
      <c r="L39" s="5"/>
    </row>
    <row r="40" spans="2:27" ht="15.75" x14ac:dyDescent="0.25">
      <c r="B40" s="370" t="s">
        <v>134</v>
      </c>
      <c r="C40" s="12"/>
      <c r="D40" s="328">
        <f t="shared" si="6"/>
        <v>0.12679690875068336</v>
      </c>
      <c r="E40" s="328">
        <f t="shared" si="6"/>
        <v>0.37448334792615001</v>
      </c>
      <c r="F40" s="328"/>
      <c r="G40" s="328">
        <f>G$19*G25</f>
        <v>0</v>
      </c>
      <c r="H40" s="328">
        <f>H11</f>
        <v>0</v>
      </c>
      <c r="I40" s="328">
        <f>I$19*I25</f>
        <v>1.145</v>
      </c>
      <c r="J40" s="12"/>
      <c r="K40" s="12"/>
      <c r="L40" s="5"/>
    </row>
    <row r="41" spans="2:27" ht="15.75" x14ac:dyDescent="0.25">
      <c r="B41" s="377"/>
      <c r="C41" s="12"/>
      <c r="D41" s="328">
        <f t="shared" ref="D41:I41" si="8">SUM(D36:D40)</f>
        <v>25.378503931643404</v>
      </c>
      <c r="E41" s="328">
        <f t="shared" si="8"/>
        <v>37.439467162869441</v>
      </c>
      <c r="F41" s="328">
        <f t="shared" si="8"/>
        <v>0</v>
      </c>
      <c r="G41" s="328">
        <f t="shared" si="8"/>
        <v>10</v>
      </c>
      <c r="H41" s="328">
        <f t="shared" si="8"/>
        <v>25.06</v>
      </c>
      <c r="I41" s="328">
        <f t="shared" si="8"/>
        <v>45.800000000000004</v>
      </c>
      <c r="J41" s="12"/>
      <c r="K41" s="12"/>
      <c r="L41" s="5"/>
      <c r="Q41" s="136">
        <v>2017</v>
      </c>
    </row>
    <row r="42" spans="2:27" x14ac:dyDescent="0.25">
      <c r="B42" s="4"/>
      <c r="C42" s="12"/>
      <c r="D42" s="12"/>
      <c r="E42" s="12"/>
      <c r="F42" s="12"/>
      <c r="G42" s="12"/>
      <c r="H42" s="12"/>
      <c r="I42" s="12"/>
      <c r="J42" s="12"/>
      <c r="K42" s="12"/>
      <c r="L42" s="5"/>
      <c r="P42" s="131" t="s">
        <v>7</v>
      </c>
      <c r="Q42" s="349">
        <f>Q26*$AA26</f>
        <v>29.519292939247229</v>
      </c>
      <c r="R42" s="349">
        <f t="shared" ref="R42:W42" si="9">R26*$AA26</f>
        <v>16.408413145690233</v>
      </c>
      <c r="S42" s="349">
        <f t="shared" si="9"/>
        <v>25.625433519831848</v>
      </c>
      <c r="T42" s="349">
        <f t="shared" si="9"/>
        <v>0</v>
      </c>
      <c r="U42" s="349">
        <f t="shared" si="9"/>
        <v>1.8026664112248365</v>
      </c>
      <c r="V42" s="349">
        <f t="shared" si="9"/>
        <v>1.5970884420774072</v>
      </c>
      <c r="W42" s="349">
        <f t="shared" si="9"/>
        <v>0</v>
      </c>
    </row>
    <row r="43" spans="2:27" x14ac:dyDescent="0.25">
      <c r="B43" s="4"/>
      <c r="C43" s="150" t="s">
        <v>454</v>
      </c>
      <c r="D43" s="150" t="s">
        <v>14</v>
      </c>
      <c r="E43" s="150" t="s">
        <v>12</v>
      </c>
      <c r="F43" s="150" t="s">
        <v>455</v>
      </c>
      <c r="G43" s="150" t="s">
        <v>154</v>
      </c>
      <c r="H43" s="150" t="s">
        <v>456</v>
      </c>
      <c r="I43" s="150" t="s">
        <v>325</v>
      </c>
      <c r="J43" s="12"/>
      <c r="K43" s="12"/>
      <c r="L43" s="5"/>
      <c r="P43" s="131" t="s">
        <v>176</v>
      </c>
      <c r="Q43" s="349">
        <f t="shared" ref="Q43:W45" si="10">Q27*$AA27</f>
        <v>3.2228811943078308</v>
      </c>
      <c r="R43" s="349">
        <f t="shared" si="10"/>
        <v>13.135632742160661</v>
      </c>
      <c r="S43" s="349">
        <f t="shared" si="10"/>
        <v>0</v>
      </c>
      <c r="T43" s="349">
        <f t="shared" si="10"/>
        <v>0</v>
      </c>
      <c r="U43" s="349">
        <f t="shared" si="10"/>
        <v>0</v>
      </c>
      <c r="V43" s="349">
        <f t="shared" si="10"/>
        <v>1.7377316159639422</v>
      </c>
      <c r="W43" s="349">
        <f t="shared" si="10"/>
        <v>0</v>
      </c>
    </row>
    <row r="44" spans="2:27" x14ac:dyDescent="0.25">
      <c r="B44" s="131" t="s">
        <v>7</v>
      </c>
      <c r="C44" s="328">
        <f>D36</f>
        <v>4.3302170790299686</v>
      </c>
      <c r="D44" s="328">
        <f>D38</f>
        <v>5.8326578025314344</v>
      </c>
      <c r="E44" s="328">
        <f>D37</f>
        <v>8.8757836125478331</v>
      </c>
      <c r="F44" s="12"/>
      <c r="G44" s="12"/>
      <c r="H44" s="12"/>
      <c r="I44" s="12"/>
      <c r="J44" s="12"/>
      <c r="K44" s="12"/>
      <c r="L44" s="5"/>
      <c r="P44" s="131" t="s">
        <v>463</v>
      </c>
      <c r="Q44" s="349">
        <f t="shared" si="10"/>
        <v>0</v>
      </c>
      <c r="R44" s="349">
        <f t="shared" si="10"/>
        <v>7.8115236363997518</v>
      </c>
      <c r="S44" s="349">
        <f t="shared" si="10"/>
        <v>0</v>
      </c>
      <c r="T44" s="349">
        <f t="shared" si="10"/>
        <v>0</v>
      </c>
      <c r="U44" s="349">
        <f t="shared" si="10"/>
        <v>0.9319471536482401</v>
      </c>
      <c r="V44" s="349">
        <f t="shared" si="10"/>
        <v>0.91644633864830771</v>
      </c>
      <c r="W44" s="349">
        <f t="shared" si="10"/>
        <v>0</v>
      </c>
    </row>
    <row r="45" spans="2:27" x14ac:dyDescent="0.25">
      <c r="B45" s="131" t="s">
        <v>176</v>
      </c>
      <c r="C45" s="328">
        <f>E36</f>
        <v>20.596584135938251</v>
      </c>
      <c r="D45" s="328">
        <f>E38</f>
        <v>14.230367221193701</v>
      </c>
      <c r="E45" s="328">
        <f>E37</f>
        <v>0</v>
      </c>
      <c r="F45" s="12"/>
      <c r="G45" s="12"/>
      <c r="H45" s="12"/>
      <c r="I45" s="12"/>
      <c r="J45" s="12"/>
      <c r="K45" s="12"/>
      <c r="L45" s="5"/>
      <c r="P45" s="131" t="s">
        <v>98</v>
      </c>
      <c r="Q45" s="349">
        <f t="shared" si="10"/>
        <v>12.273101265530746</v>
      </c>
      <c r="R45" s="349">
        <f t="shared" si="10"/>
        <v>11.028835113982396</v>
      </c>
      <c r="S45" s="349">
        <f t="shared" si="10"/>
        <v>0</v>
      </c>
      <c r="T45" s="349">
        <f t="shared" si="10"/>
        <v>0</v>
      </c>
      <c r="U45" s="349">
        <f t="shared" si="10"/>
        <v>4.1056859983628646</v>
      </c>
      <c r="V45" s="349">
        <f t="shared" si="10"/>
        <v>0.45469134761419017</v>
      </c>
      <c r="W45" s="349">
        <f t="shared" si="10"/>
        <v>0</v>
      </c>
    </row>
    <row r="46" spans="2:27" x14ac:dyDescent="0.25">
      <c r="B46" s="131" t="s">
        <v>463</v>
      </c>
      <c r="C46" s="328">
        <f>G36</f>
        <v>0</v>
      </c>
      <c r="D46" s="328">
        <f>G38</f>
        <v>7.5</v>
      </c>
      <c r="E46" s="328">
        <f>G37</f>
        <v>0</v>
      </c>
      <c r="F46" s="12"/>
      <c r="G46" s="12"/>
      <c r="H46" s="12"/>
      <c r="I46" s="12"/>
      <c r="J46" s="12"/>
      <c r="K46" s="12"/>
      <c r="L46" s="5"/>
      <c r="Q46" s="358">
        <f t="shared" ref="Q46:W46" si="11">SUM(Q42:Q45)</f>
        <v>45.015275399085809</v>
      </c>
      <c r="R46" s="358">
        <f t="shared" si="11"/>
        <v>48.384404638233036</v>
      </c>
      <c r="S46" s="358">
        <f t="shared" si="11"/>
        <v>25.625433519831848</v>
      </c>
      <c r="T46" s="358">
        <f t="shared" si="11"/>
        <v>0</v>
      </c>
      <c r="U46" s="358">
        <f t="shared" si="11"/>
        <v>6.8402995632359413</v>
      </c>
      <c r="V46" s="358">
        <f t="shared" si="11"/>
        <v>4.7059577443038467</v>
      </c>
      <c r="W46" s="358">
        <f t="shared" si="11"/>
        <v>0</v>
      </c>
    </row>
    <row r="47" spans="2:27" x14ac:dyDescent="0.25">
      <c r="B47" s="131" t="s">
        <v>98</v>
      </c>
      <c r="C47" s="328">
        <f>H36</f>
        <v>17.2</v>
      </c>
      <c r="D47" s="328">
        <f>H38</f>
        <v>4.3499999999999996</v>
      </c>
      <c r="E47" s="328">
        <f>H37</f>
        <v>2.6</v>
      </c>
      <c r="F47" s="12"/>
      <c r="G47" s="12"/>
      <c r="H47" s="12"/>
      <c r="I47" s="12"/>
      <c r="J47" s="12"/>
      <c r="K47" s="12"/>
      <c r="L47" s="5"/>
    </row>
    <row r="48" spans="2:27" x14ac:dyDescent="0.25">
      <c r="B48" s="4"/>
      <c r="C48" s="12"/>
      <c r="D48" s="12"/>
      <c r="E48" s="12"/>
      <c r="F48" s="12"/>
      <c r="G48" s="12"/>
      <c r="H48" s="12"/>
      <c r="I48" s="12"/>
      <c r="J48" s="12"/>
      <c r="K48" s="12"/>
      <c r="L48" s="5"/>
    </row>
    <row r="49" spans="2:24" ht="15.75" x14ac:dyDescent="0.25">
      <c r="B49" s="7"/>
      <c r="C49" s="8"/>
      <c r="D49" s="8"/>
      <c r="E49" s="8"/>
      <c r="F49" s="8"/>
      <c r="G49" s="8"/>
      <c r="H49" s="8"/>
      <c r="I49" s="8"/>
      <c r="J49" s="8"/>
      <c r="K49" s="8"/>
      <c r="L49" s="9"/>
      <c r="P49" t="s">
        <v>547</v>
      </c>
      <c r="R49" s="425">
        <v>17312</v>
      </c>
      <c r="S49" t="s">
        <v>331</v>
      </c>
    </row>
    <row r="50" spans="2:24" x14ac:dyDescent="0.25">
      <c r="P50" t="s">
        <v>399</v>
      </c>
      <c r="R50" s="426">
        <f>R46*1000</f>
        <v>48384.404638233034</v>
      </c>
    </row>
    <row r="51" spans="2:24" x14ac:dyDescent="0.25">
      <c r="B51" t="s">
        <v>485</v>
      </c>
    </row>
    <row r="52" spans="2:24" x14ac:dyDescent="0.25">
      <c r="B52" s="15"/>
      <c r="C52" s="16" t="s">
        <v>487</v>
      </c>
      <c r="D52" s="16"/>
      <c r="E52" s="16" t="s">
        <v>543</v>
      </c>
      <c r="F52" s="16"/>
      <c r="G52" s="3"/>
      <c r="P52" t="s">
        <v>13</v>
      </c>
      <c r="Q52" t="s">
        <v>554</v>
      </c>
      <c r="R52">
        <f>Coke!L20</f>
        <v>2.91</v>
      </c>
      <c r="S52" t="s">
        <v>190</v>
      </c>
    </row>
    <row r="53" spans="2:24" x14ac:dyDescent="0.25">
      <c r="B53" s="4" t="s">
        <v>486</v>
      </c>
      <c r="C53" s="12">
        <v>0.753</v>
      </c>
      <c r="D53" s="12"/>
      <c r="E53" s="12">
        <f>C53*1000000*3600/1000000000</f>
        <v>2.7107999999999999</v>
      </c>
      <c r="F53" s="12"/>
      <c r="G53" s="5"/>
      <c r="Q53" t="s">
        <v>399</v>
      </c>
      <c r="R53" s="349">
        <f>Q46/24</f>
        <v>1.8756364749619088</v>
      </c>
    </row>
    <row r="54" spans="2:24" x14ac:dyDescent="0.25">
      <c r="B54" s="7"/>
      <c r="C54" s="8"/>
      <c r="D54" s="8"/>
      <c r="E54" s="8"/>
      <c r="F54" s="8"/>
      <c r="G54" s="9"/>
      <c r="Q54" t="s">
        <v>555</v>
      </c>
      <c r="R54">
        <v>2.75</v>
      </c>
    </row>
    <row r="56" spans="2:24" x14ac:dyDescent="0.25">
      <c r="B56" t="s">
        <v>521</v>
      </c>
    </row>
    <row r="57" spans="2:24" x14ac:dyDescent="0.25">
      <c r="B57" s="15"/>
      <c r="C57" s="16"/>
      <c r="D57" s="16"/>
      <c r="E57" s="16"/>
      <c r="F57" s="16"/>
      <c r="G57" s="3"/>
    </row>
    <row r="58" spans="2:24" x14ac:dyDescent="0.25">
      <c r="B58" s="4" t="s">
        <v>518</v>
      </c>
      <c r="C58" s="12"/>
      <c r="D58" s="12"/>
      <c r="E58" s="12"/>
      <c r="F58" s="12"/>
      <c r="G58" s="5"/>
    </row>
    <row r="59" spans="2:24" x14ac:dyDescent="0.25">
      <c r="B59" s="4"/>
      <c r="C59" s="12" t="s">
        <v>13</v>
      </c>
      <c r="D59" s="12" t="s">
        <v>11</v>
      </c>
      <c r="E59" s="12"/>
      <c r="F59" s="12"/>
      <c r="G59" s="5"/>
      <c r="P59" t="s">
        <v>572</v>
      </c>
    </row>
    <row r="60" spans="2:24" x14ac:dyDescent="0.25">
      <c r="B60" s="4" t="s">
        <v>506</v>
      </c>
      <c r="C60" s="1">
        <f>Coke!L86</f>
        <v>3840</v>
      </c>
      <c r="D60" s="1">
        <f>Coke!L85</f>
        <v>11730</v>
      </c>
      <c r="E60" s="328">
        <f>D60/C60</f>
        <v>3.0546875</v>
      </c>
      <c r="F60" s="12"/>
      <c r="G60" s="5"/>
      <c r="Q60" t="s">
        <v>556</v>
      </c>
    </row>
    <row r="61" spans="2:24" x14ac:dyDescent="0.25">
      <c r="B61" s="4" t="s">
        <v>507</v>
      </c>
      <c r="C61" s="1">
        <f>'Blast furnace JPN info'!I12*1000</f>
        <v>4920</v>
      </c>
      <c r="D61" s="1">
        <f>'Blast furnace JPN info'!I11*1000</f>
        <v>8250</v>
      </c>
      <c r="E61" s="328">
        <f>D61/C61</f>
        <v>1.6768292682926829</v>
      </c>
      <c r="F61" s="12"/>
      <c r="G61" s="5"/>
      <c r="Q61" s="150" t="s">
        <v>454</v>
      </c>
      <c r="R61" s="150" t="s">
        <v>14</v>
      </c>
      <c r="S61" s="150" t="s">
        <v>12</v>
      </c>
      <c r="T61" s="150" t="s">
        <v>455</v>
      </c>
      <c r="U61" s="150" t="s">
        <v>154</v>
      </c>
      <c r="V61" s="150" t="s">
        <v>456</v>
      </c>
      <c r="W61" s="150" t="s">
        <v>325</v>
      </c>
    </row>
    <row r="62" spans="2:24" x14ac:dyDescent="0.25">
      <c r="B62" s="4" t="s">
        <v>508</v>
      </c>
      <c r="C62" s="1">
        <f>'TNapp - I&amp;S intensity'!D185*1000</f>
        <v>4330.2170790299688</v>
      </c>
      <c r="D62" s="1">
        <f>'TNapp - I&amp;S intensity'!D186*1000</f>
        <v>8875.7836125478334</v>
      </c>
      <c r="E62" s="328">
        <f>D62/C62</f>
        <v>2.0497317918611455</v>
      </c>
      <c r="F62" s="12"/>
      <c r="G62" s="5"/>
      <c r="P62" s="131" t="s">
        <v>7</v>
      </c>
      <c r="Q62" s="357">
        <v>9.7324443858011449</v>
      </c>
      <c r="R62" s="357">
        <v>5.4098168519259584</v>
      </c>
      <c r="S62" s="357">
        <v>8.4486477066739596</v>
      </c>
      <c r="T62" s="357">
        <v>0</v>
      </c>
      <c r="U62" s="357">
        <v>0.59433505502672301</v>
      </c>
      <c r="V62" s="357">
        <v>0.52655646169147485</v>
      </c>
      <c r="W62" s="357">
        <v>0</v>
      </c>
      <c r="X62" s="432">
        <f>SUM(Q62:W62)</f>
        <v>24.71180046111926</v>
      </c>
    </row>
    <row r="63" spans="2:24" x14ac:dyDescent="0.25">
      <c r="B63" s="4"/>
      <c r="C63" s="12"/>
      <c r="D63" s="12"/>
      <c r="E63" s="12"/>
      <c r="F63" s="12"/>
      <c r="G63" s="5"/>
      <c r="P63" s="131" t="s">
        <v>176</v>
      </c>
      <c r="Q63" s="357">
        <v>4.2466739383685805</v>
      </c>
      <c r="R63" s="357">
        <v>17.308347986465257</v>
      </c>
      <c r="S63" s="357">
        <v>0</v>
      </c>
      <c r="T63" s="357">
        <v>0</v>
      </c>
      <c r="U63" s="357">
        <v>0</v>
      </c>
      <c r="V63" s="357">
        <v>2.2897460751661631</v>
      </c>
      <c r="W63" s="357">
        <v>0</v>
      </c>
      <c r="X63" s="432">
        <f>SUM(Q63:W63)</f>
        <v>23.844768000000002</v>
      </c>
    </row>
    <row r="64" spans="2:24" x14ac:dyDescent="0.25">
      <c r="B64" s="4"/>
      <c r="C64" s="12">
        <v>24</v>
      </c>
      <c r="D64" s="12">
        <v>30</v>
      </c>
      <c r="F64" s="12"/>
      <c r="G64" s="5"/>
      <c r="P64" s="131" t="s">
        <v>463</v>
      </c>
      <c r="Q64" s="357">
        <v>0</v>
      </c>
      <c r="R64" s="357">
        <v>5.9178209366664776</v>
      </c>
      <c r="S64" s="357">
        <v>0</v>
      </c>
      <c r="T64" s="357">
        <v>0</v>
      </c>
      <c r="U64" s="357">
        <v>0.70602057094563631</v>
      </c>
      <c r="V64" s="357">
        <v>0.69427752927902087</v>
      </c>
      <c r="W64" s="357">
        <v>0</v>
      </c>
      <c r="X64" s="432">
        <f>SUM(Q64:W64)</f>
        <v>7.3181190368911349</v>
      </c>
    </row>
    <row r="65" spans="2:25" x14ac:dyDescent="0.25">
      <c r="B65" s="6" t="s">
        <v>545</v>
      </c>
      <c r="E65" s="12" t="s">
        <v>522</v>
      </c>
      <c r="F65" s="12"/>
      <c r="G65" s="5"/>
      <c r="I65" t="s">
        <v>523</v>
      </c>
      <c r="P65" s="131" t="s">
        <v>98</v>
      </c>
      <c r="Q65" s="357">
        <v>10.977729217827143</v>
      </c>
      <c r="R65" s="357">
        <v>9.8647899051720884</v>
      </c>
      <c r="S65" s="357">
        <v>0</v>
      </c>
      <c r="T65" s="357">
        <v>0</v>
      </c>
      <c r="U65" s="357">
        <v>3.6723488357449594</v>
      </c>
      <c r="V65" s="357">
        <v>0.406700668706789</v>
      </c>
      <c r="W65" s="357">
        <v>0</v>
      </c>
      <c r="X65" s="432">
        <f>SUM(Q65:W65)</f>
        <v>24.921568627450981</v>
      </c>
    </row>
    <row r="66" spans="2:25" x14ac:dyDescent="0.25">
      <c r="B66" s="4" t="s">
        <v>506</v>
      </c>
      <c r="C66" s="21">
        <f t="shared" ref="C66:D68" si="12">C60/C$64</f>
        <v>160</v>
      </c>
      <c r="D66" s="21">
        <f t="shared" si="12"/>
        <v>391</v>
      </c>
      <c r="E66" s="401">
        <f>C66/D66</f>
        <v>0.40920716112531969</v>
      </c>
      <c r="F66" s="12"/>
      <c r="G66" s="5"/>
      <c r="I66" s="397">
        <f>'AMSA reports'!C26</f>
        <v>0.74270000000000003</v>
      </c>
      <c r="L66" s="349"/>
      <c r="N66" s="358"/>
    </row>
    <row r="67" spans="2:25" x14ac:dyDescent="0.25">
      <c r="B67" s="4" t="s">
        <v>507</v>
      </c>
      <c r="C67" s="21">
        <f t="shared" si="12"/>
        <v>205</v>
      </c>
      <c r="D67" s="21">
        <f t="shared" si="12"/>
        <v>275</v>
      </c>
      <c r="E67" s="401">
        <f>C67/D67</f>
        <v>0.74545454545454548</v>
      </c>
      <c r="F67" s="12"/>
      <c r="G67" s="5"/>
    </row>
    <row r="68" spans="2:25" x14ac:dyDescent="0.25">
      <c r="B68" s="4" t="s">
        <v>508</v>
      </c>
      <c r="C68" s="21">
        <f>C62/C$64</f>
        <v>180.4257116262487</v>
      </c>
      <c r="D68" s="21">
        <f t="shared" si="12"/>
        <v>295.85945375159446</v>
      </c>
      <c r="E68" s="401">
        <f>C68/D68</f>
        <v>0.60983588436465952</v>
      </c>
      <c r="F68" s="12"/>
      <c r="G68" s="5"/>
      <c r="P68" t="s">
        <v>573</v>
      </c>
    </row>
    <row r="69" spans="2:25" x14ac:dyDescent="0.25">
      <c r="B69" s="7"/>
      <c r="C69" s="8"/>
      <c r="D69" s="8"/>
      <c r="E69" s="8"/>
      <c r="F69" s="8"/>
      <c r="G69" s="9"/>
      <c r="P69" s="15"/>
      <c r="Q69" s="16"/>
      <c r="R69" s="16"/>
      <c r="S69" s="16"/>
      <c r="T69" s="16"/>
      <c r="U69" s="16"/>
      <c r="V69" s="16"/>
      <c r="W69" s="16"/>
      <c r="X69" s="16"/>
      <c r="Y69" s="3"/>
    </row>
    <row r="70" spans="2:25" ht="15.75" x14ac:dyDescent="0.25">
      <c r="P70" s="371"/>
      <c r="Q70" s="26" t="s">
        <v>7</v>
      </c>
      <c r="R70" s="26" t="s">
        <v>47</v>
      </c>
      <c r="S70" s="26"/>
      <c r="T70" s="26" t="s">
        <v>8</v>
      </c>
      <c r="U70" s="26" t="s">
        <v>49</v>
      </c>
      <c r="V70" s="26" t="s">
        <v>10</v>
      </c>
      <c r="W70" s="12"/>
      <c r="X70" s="12"/>
      <c r="Y70" s="5"/>
    </row>
    <row r="71" spans="2:25" ht="15.75" x14ac:dyDescent="0.25">
      <c r="P71" s="376" t="s">
        <v>90</v>
      </c>
      <c r="Q71" s="73">
        <f>'TNapp - I&amp;S intensity'!D94</f>
        <v>2.34</v>
      </c>
      <c r="R71" s="73">
        <f>'TNapp - I&amp;S intensity'!E94</f>
        <v>0.6</v>
      </c>
      <c r="S71" s="73"/>
      <c r="T71" s="73">
        <f>'TNapp - I&amp;S intensity'!G94</f>
        <v>0</v>
      </c>
      <c r="U71" s="73">
        <f>'TNapp - I&amp;S intensity'!H94</f>
        <v>0</v>
      </c>
      <c r="V71" s="73">
        <f>'TNapp - I&amp;S intensity'!I94</f>
        <v>0</v>
      </c>
      <c r="W71" s="12"/>
      <c r="X71" s="12"/>
      <c r="Y71" s="5"/>
    </row>
    <row r="72" spans="2:25" ht="15.75" x14ac:dyDescent="0.25">
      <c r="E72" t="s">
        <v>5</v>
      </c>
      <c r="P72" s="376" t="s">
        <v>93</v>
      </c>
      <c r="Q72" s="73">
        <f>'TNapp - I&amp;S intensity'!D95</f>
        <v>11.6</v>
      </c>
      <c r="R72" s="73">
        <f>'TNapp - I&amp;S intensity'!E95</f>
        <v>17.5</v>
      </c>
      <c r="S72" s="73"/>
      <c r="T72" s="73">
        <f>'TNapp - I&amp;S intensity'!G95</f>
        <v>0</v>
      </c>
      <c r="U72" s="73">
        <f>'TNapp - I&amp;S intensity'!H95</f>
        <v>15</v>
      </c>
      <c r="V72" s="73">
        <f>'TNapp - I&amp;S intensity'!I95</f>
        <v>15</v>
      </c>
      <c r="W72" s="12"/>
      <c r="X72" s="12"/>
      <c r="Y72" s="5"/>
    </row>
    <row r="73" spans="2:25" ht="15.75" x14ac:dyDescent="0.25">
      <c r="D73" s="131" t="s">
        <v>7</v>
      </c>
      <c r="E73" s="355">
        <f>AA26</f>
        <v>3.0330810810810807</v>
      </c>
      <c r="P73" s="376" t="s">
        <v>97</v>
      </c>
      <c r="Q73" s="73">
        <f>'TNapp - I&amp;S intensity'!D96</f>
        <v>-0.35</v>
      </c>
      <c r="R73" s="73">
        <f>'TNapp - I&amp;S intensity'!E96</f>
        <v>2.88</v>
      </c>
      <c r="S73" s="73"/>
      <c r="T73" s="73">
        <f>'TNapp - I&amp;S intensity'!G96</f>
        <v>2.4</v>
      </c>
      <c r="U73" s="73">
        <f>'TNapp - I&amp;S intensity'!H96</f>
        <v>2.88</v>
      </c>
      <c r="V73" s="73">
        <f>'TNapp - I&amp;S intensity'!I96</f>
        <v>3.556</v>
      </c>
      <c r="W73" s="12"/>
      <c r="X73" s="12"/>
      <c r="Y73" s="5"/>
    </row>
    <row r="74" spans="2:25" ht="15.75" x14ac:dyDescent="0.25">
      <c r="D74" s="131" t="s">
        <v>176</v>
      </c>
      <c r="E74" s="355">
        <f>AA27</f>
        <v>0.75891891891891894</v>
      </c>
      <c r="P74" s="376" t="s">
        <v>113</v>
      </c>
      <c r="Q74" s="73">
        <f>'TNapp - I&amp;S intensity'!D97</f>
        <v>2.3039215686274517</v>
      </c>
      <c r="R74" s="73">
        <f>'TNapp - I&amp;S intensity'!E97</f>
        <v>2.4500000000000002</v>
      </c>
      <c r="S74" s="73"/>
      <c r="T74" s="73">
        <f>'TNapp - I&amp;S intensity'!G97</f>
        <v>2.7105427251732102</v>
      </c>
      <c r="U74" s="73">
        <f>'TNapp - I&amp;S intensity'!H97</f>
        <v>0.2</v>
      </c>
      <c r="V74" s="73">
        <f>'TNapp - I&amp;S intensity'!I97</f>
        <v>1.875</v>
      </c>
      <c r="W74" s="12"/>
      <c r="X74" s="12"/>
      <c r="Y74" s="5"/>
    </row>
    <row r="75" spans="2:25" ht="15.75" x14ac:dyDescent="0.25">
      <c r="D75" s="131" t="s">
        <v>463</v>
      </c>
      <c r="E75" s="355">
        <f>AA28</f>
        <v>1.3200000000000003</v>
      </c>
      <c r="P75" s="433" t="s">
        <v>3</v>
      </c>
      <c r="Q75" s="76">
        <f>SUM(Q71:Q74)</f>
        <v>15.893921568627452</v>
      </c>
      <c r="R75" s="76">
        <f>SUM(R71:R74)</f>
        <v>23.43</v>
      </c>
      <c r="S75" s="76"/>
      <c r="T75" s="76">
        <f>SUM(T71:T74)</f>
        <v>5.1105427251732101</v>
      </c>
      <c r="U75" s="76">
        <f>SUM(U71:U74)</f>
        <v>18.079999999999998</v>
      </c>
      <c r="V75" s="76">
        <f>SUM(V71:V74)</f>
        <v>20.431000000000001</v>
      </c>
      <c r="W75" s="12"/>
      <c r="X75" s="12"/>
      <c r="Y75" s="5"/>
    </row>
    <row r="76" spans="2:25" x14ac:dyDescent="0.25">
      <c r="D76" s="131" t="s">
        <v>98</v>
      </c>
      <c r="E76" s="355">
        <f>AA29</f>
        <v>1.1180000000000001</v>
      </c>
      <c r="P76" s="7"/>
      <c r="Q76" s="8"/>
      <c r="R76" s="8"/>
      <c r="S76" s="8"/>
      <c r="T76" s="8"/>
      <c r="U76" s="8"/>
      <c r="V76" s="8"/>
      <c r="W76" s="8"/>
      <c r="X76" s="8"/>
      <c r="Y76" s="9"/>
    </row>
    <row r="78" spans="2:25" x14ac:dyDescent="0.25">
      <c r="D78" t="s">
        <v>569</v>
      </c>
    </row>
    <row r="79" spans="2:25" x14ac:dyDescent="0.25">
      <c r="E79" t="s">
        <v>556</v>
      </c>
      <c r="P79" t="s">
        <v>557</v>
      </c>
      <c r="R79" s="427" t="s">
        <v>562</v>
      </c>
    </row>
    <row r="80" spans="2:25" x14ac:dyDescent="0.25">
      <c r="E80" s="150" t="s">
        <v>454</v>
      </c>
      <c r="F80" s="150" t="s">
        <v>14</v>
      </c>
      <c r="G80" s="150" t="s">
        <v>12</v>
      </c>
      <c r="H80" s="150" t="s">
        <v>455</v>
      </c>
      <c r="I80" s="150" t="s">
        <v>154</v>
      </c>
      <c r="J80" s="150" t="s">
        <v>456</v>
      </c>
      <c r="K80" s="150" t="s">
        <v>325</v>
      </c>
      <c r="P80" s="15"/>
      <c r="Q80" s="16"/>
      <c r="R80" s="16"/>
      <c r="S80" s="16"/>
      <c r="T80" s="16"/>
      <c r="U80" s="16"/>
      <c r="V80" s="16"/>
      <c r="W80" s="3"/>
    </row>
    <row r="81" spans="2:23" x14ac:dyDescent="0.25">
      <c r="D81" s="131" t="s">
        <v>7</v>
      </c>
      <c r="E81" s="342">
        <f>C44</f>
        <v>4.3302170790299686</v>
      </c>
      <c r="F81" s="342">
        <f t="shared" ref="F81:G84" si="13">D44</f>
        <v>5.8326578025314344</v>
      </c>
      <c r="G81" s="342">
        <f>E44</f>
        <v>8.8757836125478331</v>
      </c>
      <c r="H81" s="357"/>
      <c r="I81" s="357"/>
      <c r="J81" s="357"/>
      <c r="K81" s="357"/>
      <c r="P81" s="4"/>
      <c r="Q81" s="12"/>
      <c r="R81" s="429" t="s">
        <v>558</v>
      </c>
      <c r="S81" s="17" t="s">
        <v>399</v>
      </c>
      <c r="T81" s="17" t="s">
        <v>546</v>
      </c>
      <c r="U81" s="20" t="s">
        <v>3</v>
      </c>
      <c r="V81" s="12"/>
      <c r="W81" s="5"/>
    </row>
    <row r="82" spans="2:23" ht="15.75" x14ac:dyDescent="0.25">
      <c r="D82" s="131" t="s">
        <v>176</v>
      </c>
      <c r="E82" s="342">
        <f>C45</f>
        <v>20.596584135938251</v>
      </c>
      <c r="F82" s="342">
        <f t="shared" si="13"/>
        <v>14.230367221193701</v>
      </c>
      <c r="G82" s="342">
        <f t="shared" si="13"/>
        <v>0</v>
      </c>
      <c r="H82" s="357"/>
      <c r="I82" s="357"/>
      <c r="J82" s="357"/>
      <c r="K82" s="357"/>
      <c r="P82" s="4" t="s">
        <v>14</v>
      </c>
      <c r="Q82" s="12" t="s">
        <v>331</v>
      </c>
      <c r="R82" s="430">
        <v>17312</v>
      </c>
      <c r="S82" s="17">
        <f>F114</f>
        <v>17383.575380289374</v>
      </c>
      <c r="T82" s="17"/>
      <c r="U82" s="431">
        <f>SUM(S82:T82)</f>
        <v>17383.575380289374</v>
      </c>
      <c r="V82" s="18">
        <f>U82/R82-1</f>
        <v>4.1344374011884621E-3</v>
      </c>
      <c r="W82" s="5"/>
    </row>
    <row r="83" spans="2:23" x14ac:dyDescent="0.25">
      <c r="D83" s="131" t="s">
        <v>463</v>
      </c>
      <c r="E83" s="342">
        <f>C46</f>
        <v>0</v>
      </c>
      <c r="F83" s="342">
        <f t="shared" si="13"/>
        <v>7.5</v>
      </c>
      <c r="G83" s="342">
        <f t="shared" si="13"/>
        <v>0</v>
      </c>
      <c r="H83" s="357"/>
      <c r="I83" s="357"/>
      <c r="J83" s="357"/>
      <c r="K83" s="357"/>
      <c r="P83" s="4"/>
      <c r="Q83" s="12"/>
      <c r="R83" s="429"/>
      <c r="S83" s="17"/>
      <c r="T83" s="17"/>
      <c r="U83" s="431"/>
      <c r="V83" s="12"/>
      <c r="W83" s="5"/>
    </row>
    <row r="84" spans="2:23" x14ac:dyDescent="0.25">
      <c r="D84" s="131" t="s">
        <v>98</v>
      </c>
      <c r="E84" s="342">
        <f>C47</f>
        <v>17.2</v>
      </c>
      <c r="F84" s="342">
        <f t="shared" si="13"/>
        <v>4.3499999999999996</v>
      </c>
      <c r="G84" s="342">
        <f t="shared" si="13"/>
        <v>2.6</v>
      </c>
      <c r="H84" s="357"/>
      <c r="I84" s="357"/>
      <c r="J84" s="357"/>
      <c r="K84" s="357"/>
      <c r="P84" s="4"/>
      <c r="Q84" s="12"/>
      <c r="R84" s="429" t="s">
        <v>560</v>
      </c>
      <c r="S84" s="17"/>
      <c r="T84" s="17"/>
      <c r="U84" s="431"/>
      <c r="V84" s="12"/>
      <c r="W84" s="5"/>
    </row>
    <row r="85" spans="2:23" x14ac:dyDescent="0.25">
      <c r="P85" s="4" t="s">
        <v>13</v>
      </c>
      <c r="Q85" s="12" t="s">
        <v>190</v>
      </c>
      <c r="R85" s="429">
        <v>2.91</v>
      </c>
      <c r="S85" s="285">
        <f>E114/24000</f>
        <v>1.9997765360520332</v>
      </c>
      <c r="T85" s="17">
        <v>2.75</v>
      </c>
      <c r="U85" s="431">
        <f>SUM(S85:T85)</f>
        <v>4.7497765360520336</v>
      </c>
      <c r="V85" s="18">
        <f>U85/R85-1</f>
        <v>0.63222561376358533</v>
      </c>
      <c r="W85" s="5"/>
    </row>
    <row r="86" spans="2:23" x14ac:dyDescent="0.25">
      <c r="P86" s="4"/>
      <c r="Q86" s="12"/>
      <c r="R86" s="429"/>
      <c r="S86" s="17"/>
      <c r="T86" s="17"/>
      <c r="U86" s="431"/>
      <c r="V86" s="12"/>
      <c r="W86" s="5"/>
    </row>
    <row r="87" spans="2:23" x14ac:dyDescent="0.25">
      <c r="D87" t="s">
        <v>570</v>
      </c>
      <c r="P87" s="4"/>
      <c r="Q87" s="12"/>
      <c r="R87" s="429" t="s">
        <v>561</v>
      </c>
      <c r="S87" s="17"/>
      <c r="T87" s="17"/>
      <c r="U87" s="431"/>
      <c r="V87" s="12"/>
      <c r="W87" s="5"/>
    </row>
    <row r="88" spans="2:23" x14ac:dyDescent="0.25">
      <c r="E88" t="s">
        <v>556</v>
      </c>
      <c r="P88" s="4" t="s">
        <v>571</v>
      </c>
      <c r="Q88" s="12" t="s">
        <v>190</v>
      </c>
      <c r="R88" s="429">
        <v>2.7</v>
      </c>
      <c r="S88" s="285"/>
      <c r="T88" s="17"/>
      <c r="U88" s="431"/>
      <c r="V88" s="18"/>
      <c r="W88" s="5"/>
    </row>
    <row r="89" spans="2:23" x14ac:dyDescent="0.25">
      <c r="E89" s="150" t="s">
        <v>454</v>
      </c>
      <c r="F89" s="150" t="s">
        <v>14</v>
      </c>
      <c r="G89" s="150" t="s">
        <v>12</v>
      </c>
      <c r="H89" s="150" t="s">
        <v>455</v>
      </c>
      <c r="I89" s="150" t="s">
        <v>154</v>
      </c>
      <c r="J89" s="150" t="s">
        <v>456</v>
      </c>
      <c r="K89" s="150" t="s">
        <v>325</v>
      </c>
      <c r="P89" s="4"/>
      <c r="Q89" s="12"/>
      <c r="R89" s="429" t="s">
        <v>567</v>
      </c>
      <c r="S89" s="17"/>
      <c r="T89" s="17"/>
      <c r="U89" s="19"/>
      <c r="V89" s="12"/>
      <c r="W89" s="5"/>
    </row>
    <row r="90" spans="2:23" x14ac:dyDescent="0.25">
      <c r="D90" s="131" t="s">
        <v>7</v>
      </c>
      <c r="E90" s="357">
        <f>Q26</f>
        <v>9.7324443858011449</v>
      </c>
      <c r="F90" s="357">
        <f t="shared" ref="F90:K93" si="14">R26</f>
        <v>5.4098168519259584</v>
      </c>
      <c r="G90" s="357">
        <f t="shared" si="14"/>
        <v>8.4486477066739596</v>
      </c>
      <c r="H90" s="357">
        <f t="shared" si="14"/>
        <v>0</v>
      </c>
      <c r="I90" s="357">
        <f t="shared" si="14"/>
        <v>0.59433505502672301</v>
      </c>
      <c r="J90" s="357">
        <f t="shared" si="14"/>
        <v>0.52655646169147485</v>
      </c>
      <c r="K90" s="357">
        <f t="shared" si="14"/>
        <v>0</v>
      </c>
      <c r="P90" s="4" t="s">
        <v>563</v>
      </c>
      <c r="Q90" s="12" t="s">
        <v>190</v>
      </c>
      <c r="R90" s="289">
        <f>Coke!J51/1000000</f>
        <v>2.0936980769230766</v>
      </c>
      <c r="S90" s="17"/>
      <c r="T90" s="12"/>
      <c r="U90" s="19"/>
      <c r="V90" s="12"/>
      <c r="W90" s="5"/>
    </row>
    <row r="91" spans="2:23" x14ac:dyDescent="0.25">
      <c r="D91" s="131" t="s">
        <v>176</v>
      </c>
      <c r="E91" s="357">
        <f>Q27</f>
        <v>4.2466739383685805</v>
      </c>
      <c r="F91" s="357">
        <f t="shared" si="14"/>
        <v>17.308347986465257</v>
      </c>
      <c r="G91" s="357">
        <f t="shared" si="14"/>
        <v>0</v>
      </c>
      <c r="H91" s="357">
        <f t="shared" si="14"/>
        <v>0</v>
      </c>
      <c r="I91" s="357">
        <f t="shared" si="14"/>
        <v>0</v>
      </c>
      <c r="J91" s="357">
        <f t="shared" si="14"/>
        <v>2.2897460751661631</v>
      </c>
      <c r="K91" s="357">
        <f t="shared" si="14"/>
        <v>0</v>
      </c>
      <c r="P91" s="4"/>
      <c r="Q91" s="12"/>
      <c r="R91" s="289"/>
      <c r="S91" s="17"/>
      <c r="T91" s="12"/>
      <c r="U91" s="19"/>
      <c r="V91" s="12"/>
      <c r="W91" s="5"/>
    </row>
    <row r="92" spans="2:23" x14ac:dyDescent="0.25">
      <c r="D92" s="131" t="s">
        <v>463</v>
      </c>
      <c r="E92" s="357">
        <f>Q28</f>
        <v>0</v>
      </c>
      <c r="F92" s="357">
        <f t="shared" si="14"/>
        <v>5.9178209366664776</v>
      </c>
      <c r="G92" s="357">
        <f t="shared" si="14"/>
        <v>0</v>
      </c>
      <c r="H92" s="357">
        <f t="shared" si="14"/>
        <v>0</v>
      </c>
      <c r="I92" s="357">
        <f t="shared" si="14"/>
        <v>0.70602057094563631</v>
      </c>
      <c r="J92" s="357">
        <f t="shared" si="14"/>
        <v>0.69427752927902087</v>
      </c>
      <c r="K92" s="357">
        <f t="shared" si="14"/>
        <v>0</v>
      </c>
      <c r="P92" s="4" t="s">
        <v>568</v>
      </c>
      <c r="Q92" s="12"/>
      <c r="R92" s="289">
        <f>R90</f>
        <v>2.0936980769230766</v>
      </c>
      <c r="S92" s="17">
        <f>G115</f>
        <v>0.99425904516627739</v>
      </c>
      <c r="T92" s="12">
        <v>1.43</v>
      </c>
      <c r="U92" s="431">
        <f>SUM(S92:T92)</f>
        <v>2.4242590451662771</v>
      </c>
      <c r="V92" s="18">
        <f>U92/R92-1</f>
        <v>0.15788378080233834</v>
      </c>
      <c r="W92" s="5"/>
    </row>
    <row r="93" spans="2:23" x14ac:dyDescent="0.25">
      <c r="D93" s="131" t="s">
        <v>98</v>
      </c>
      <c r="E93" s="357">
        <f>Q29</f>
        <v>10.977729217827143</v>
      </c>
      <c r="F93" s="357">
        <f t="shared" si="14"/>
        <v>9.8647899051720884</v>
      </c>
      <c r="G93" s="357">
        <f t="shared" si="14"/>
        <v>0</v>
      </c>
      <c r="H93" s="357">
        <f t="shared" si="14"/>
        <v>0</v>
      </c>
      <c r="I93" s="357">
        <f t="shared" si="14"/>
        <v>3.6723488357449594</v>
      </c>
      <c r="J93" s="357">
        <f t="shared" si="14"/>
        <v>0.406700668706789</v>
      </c>
      <c r="K93" s="357">
        <f t="shared" si="14"/>
        <v>0</v>
      </c>
      <c r="P93" s="4"/>
      <c r="Q93" s="12"/>
      <c r="R93" s="308"/>
      <c r="S93" s="12"/>
      <c r="T93" s="12"/>
      <c r="U93" s="12"/>
      <c r="V93" s="12"/>
      <c r="W93" s="5"/>
    </row>
    <row r="94" spans="2:23" x14ac:dyDescent="0.25">
      <c r="P94" s="7"/>
      <c r="Q94" s="8"/>
      <c r="R94" s="8"/>
      <c r="S94" s="8"/>
      <c r="T94" s="8"/>
      <c r="U94" s="8"/>
      <c r="V94" s="8"/>
      <c r="W94" s="9"/>
    </row>
    <row r="95" spans="2:23" ht="15.75" thickBot="1" x14ac:dyDescent="0.3"/>
    <row r="96" spans="2:23" x14ac:dyDescent="0.25">
      <c r="B96" s="434" t="s">
        <v>578</v>
      </c>
      <c r="C96" s="435"/>
      <c r="D96" s="435"/>
      <c r="E96" s="435"/>
      <c r="F96" s="435"/>
      <c r="G96" s="435"/>
      <c r="H96" s="435"/>
      <c r="I96" s="435"/>
      <c r="J96" s="435"/>
      <c r="K96" s="435"/>
      <c r="L96" s="435"/>
      <c r="M96" s="436"/>
    </row>
    <row r="97" spans="2:13" x14ac:dyDescent="0.25">
      <c r="B97" s="437"/>
      <c r="C97" s="12"/>
      <c r="D97" s="12"/>
      <c r="E97" s="12" t="s">
        <v>556</v>
      </c>
      <c r="F97" s="12"/>
      <c r="G97" s="12"/>
      <c r="H97" s="12"/>
      <c r="I97" s="12"/>
      <c r="J97" s="12"/>
      <c r="K97" s="12"/>
      <c r="L97" s="12"/>
      <c r="M97" s="438"/>
    </row>
    <row r="98" spans="2:13" x14ac:dyDescent="0.25">
      <c r="B98" s="437"/>
      <c r="C98" s="12"/>
      <c r="D98" s="12"/>
      <c r="E98" s="150" t="s">
        <v>454</v>
      </c>
      <c r="F98" s="150" t="s">
        <v>14</v>
      </c>
      <c r="G98" s="150" t="s">
        <v>11</v>
      </c>
      <c r="H98" s="150" t="s">
        <v>455</v>
      </c>
      <c r="I98" s="150" t="s">
        <v>154</v>
      </c>
      <c r="J98" s="150" t="s">
        <v>456</v>
      </c>
      <c r="K98" s="150" t="s">
        <v>325</v>
      </c>
      <c r="L98" s="475" t="s">
        <v>3</v>
      </c>
      <c r="M98" s="438"/>
    </row>
    <row r="99" spans="2:13" x14ac:dyDescent="0.25">
      <c r="B99" s="437" t="s">
        <v>583</v>
      </c>
      <c r="C99" s="12"/>
      <c r="D99" s="131" t="s">
        <v>7</v>
      </c>
      <c r="E99" s="439">
        <f>E81</f>
        <v>4.3302170790299686</v>
      </c>
      <c r="F99" s="439">
        <f>Q74*(1-$R$126)</f>
        <v>2.0996782148442206</v>
      </c>
      <c r="G99" s="439">
        <f>G81</f>
        <v>8.8757836125478331</v>
      </c>
      <c r="H99" s="439"/>
      <c r="I99" s="439">
        <f t="shared" ref="I99:J101" si="15">I90</f>
        <v>0.59433505502672301</v>
      </c>
      <c r="J99" s="439">
        <f t="shared" si="15"/>
        <v>0.52655646169147485</v>
      </c>
      <c r="K99" s="439"/>
      <c r="L99" s="310">
        <f>SUM(E99:K99)</f>
        <v>16.42657042314022</v>
      </c>
      <c r="M99" s="438"/>
    </row>
    <row r="100" spans="2:13" x14ac:dyDescent="0.25">
      <c r="B100" s="437" t="s">
        <v>583</v>
      </c>
      <c r="C100" s="12"/>
      <c r="D100" s="131" t="s">
        <v>176</v>
      </c>
      <c r="E100" s="439">
        <f>E82</f>
        <v>20.596584135938251</v>
      </c>
      <c r="F100" s="439">
        <f>SUM(R73:R74)*(1-R126)</f>
        <v>4.8574938650306745</v>
      </c>
      <c r="G100" s="439">
        <f>G82</f>
        <v>0</v>
      </c>
      <c r="H100" s="439"/>
      <c r="I100" s="439">
        <f t="shared" si="15"/>
        <v>0</v>
      </c>
      <c r="J100" s="439">
        <f t="shared" si="15"/>
        <v>2.2897460751661631</v>
      </c>
      <c r="K100" s="439"/>
      <c r="L100" s="310">
        <f>SUM(E100:K100)</f>
        <v>27.743824076135091</v>
      </c>
      <c r="M100" s="438"/>
    </row>
    <row r="101" spans="2:13" x14ac:dyDescent="0.25">
      <c r="B101" s="437" t="s">
        <v>402</v>
      </c>
      <c r="C101" s="308">
        <v>0.2</v>
      </c>
      <c r="D101" s="131" t="s">
        <v>463</v>
      </c>
      <c r="E101" s="439">
        <f>E83</f>
        <v>0</v>
      </c>
      <c r="F101" s="439">
        <f>T75*(1-C101)</f>
        <v>4.0884341801385684</v>
      </c>
      <c r="G101" s="439">
        <f>G83</f>
        <v>0</v>
      </c>
      <c r="H101" s="439"/>
      <c r="I101" s="439">
        <f t="shared" si="15"/>
        <v>0.70602057094563631</v>
      </c>
      <c r="J101" s="439">
        <f t="shared" si="15"/>
        <v>0.69427752927902087</v>
      </c>
      <c r="K101" s="439"/>
      <c r="L101" s="310">
        <f>SUM(E101:K101)</f>
        <v>5.4887322803632257</v>
      </c>
      <c r="M101" s="438"/>
    </row>
    <row r="102" spans="2:13" x14ac:dyDescent="0.25">
      <c r="B102" s="437" t="s">
        <v>586</v>
      </c>
      <c r="C102" s="308">
        <v>0.6</v>
      </c>
      <c r="D102" s="131" t="s">
        <v>98</v>
      </c>
      <c r="E102" s="439">
        <f>E84</f>
        <v>17.2</v>
      </c>
      <c r="F102" s="439">
        <f>U73*C102</f>
        <v>1.728</v>
      </c>
      <c r="G102" s="439">
        <f>G84</f>
        <v>2.6</v>
      </c>
      <c r="H102" s="439"/>
      <c r="I102" s="439">
        <f>N115/1000/E76</f>
        <v>0.21697550364662166</v>
      </c>
      <c r="J102" s="439">
        <f>J93</f>
        <v>0.406700668706789</v>
      </c>
      <c r="K102" s="439"/>
      <c r="L102" s="310">
        <f>SUM(E102:K102)</f>
        <v>22.151676172353415</v>
      </c>
      <c r="M102" s="438"/>
    </row>
    <row r="103" spans="2:13" x14ac:dyDescent="0.25">
      <c r="B103" s="437"/>
      <c r="C103" s="12"/>
      <c r="D103" s="448" t="s">
        <v>18</v>
      </c>
      <c r="E103" s="439">
        <f>I36</f>
        <v>20.61</v>
      </c>
      <c r="F103" s="439">
        <f>I38</f>
        <v>20.61</v>
      </c>
      <c r="G103" s="439"/>
      <c r="H103" s="439"/>
      <c r="I103" s="439"/>
      <c r="J103" s="439">
        <f>I39</f>
        <v>3.4349999999999996</v>
      </c>
      <c r="K103" s="439"/>
      <c r="L103" s="310">
        <f>SUM(E103:K103)</f>
        <v>44.655000000000001</v>
      </c>
      <c r="M103" s="438"/>
    </row>
    <row r="104" spans="2:13" ht="15.75" thickBot="1" x14ac:dyDescent="0.3">
      <c r="B104" s="440"/>
      <c r="C104" s="441"/>
      <c r="D104" s="441"/>
      <c r="E104" s="441"/>
      <c r="F104" s="441"/>
      <c r="G104" s="441"/>
      <c r="H104" s="441"/>
      <c r="I104" s="441"/>
      <c r="J104" s="441"/>
      <c r="K104" s="441"/>
      <c r="L104" s="441"/>
      <c r="M104" s="442"/>
    </row>
    <row r="106" spans="2:13" x14ac:dyDescent="0.25">
      <c r="D106" t="s">
        <v>559</v>
      </c>
      <c r="G106">
        <v>30</v>
      </c>
    </row>
    <row r="107" spans="2:13" x14ac:dyDescent="0.25">
      <c r="E107" s="150" t="s">
        <v>454</v>
      </c>
      <c r="F107" s="150" t="s">
        <v>14</v>
      </c>
      <c r="G107" s="150" t="s">
        <v>12</v>
      </c>
      <c r="H107" s="150" t="s">
        <v>455</v>
      </c>
      <c r="I107" s="150" t="s">
        <v>154</v>
      </c>
      <c r="J107" s="150" t="s">
        <v>456</v>
      </c>
      <c r="K107" s="150" t="s">
        <v>325</v>
      </c>
    </row>
    <row r="108" spans="2:13" x14ac:dyDescent="0.25">
      <c r="D108" s="131" t="s">
        <v>7</v>
      </c>
      <c r="E108" s="357">
        <f t="shared" ref="E108:K111" si="16">$E73*E99</f>
        <v>13.133899499379977</v>
      </c>
      <c r="F108" s="357">
        <f t="shared" si="16"/>
        <v>6.3684942698021016</v>
      </c>
      <c r="G108" s="357">
        <f t="shared" si="16"/>
        <v>26.920971354988321</v>
      </c>
      <c r="H108" s="357">
        <f t="shared" si="16"/>
        <v>0</v>
      </c>
      <c r="I108" s="357">
        <f t="shared" si="16"/>
        <v>1.8026664112248365</v>
      </c>
      <c r="J108" s="357">
        <f t="shared" si="16"/>
        <v>1.5970884420774072</v>
      </c>
      <c r="K108" s="357">
        <f t="shared" si="16"/>
        <v>0</v>
      </c>
    </row>
    <row r="109" spans="2:13" x14ac:dyDescent="0.25">
      <c r="D109" s="131" t="s">
        <v>176</v>
      </c>
      <c r="E109" s="357">
        <f t="shared" si="16"/>
        <v>15.631137365868813</v>
      </c>
      <c r="F109" s="357">
        <f t="shared" si="16"/>
        <v>3.6864439927043606</v>
      </c>
      <c r="G109" s="357">
        <f t="shared" si="16"/>
        <v>0</v>
      </c>
      <c r="H109" s="357">
        <f t="shared" si="16"/>
        <v>0</v>
      </c>
      <c r="I109" s="357">
        <f t="shared" si="16"/>
        <v>0</v>
      </c>
      <c r="J109" s="357">
        <f t="shared" si="16"/>
        <v>1.7377316159639422</v>
      </c>
      <c r="K109" s="357">
        <f t="shared" si="16"/>
        <v>0</v>
      </c>
    </row>
    <row r="110" spans="2:13" x14ac:dyDescent="0.25">
      <c r="D110" s="131" t="s">
        <v>463</v>
      </c>
      <c r="E110" s="357">
        <f t="shared" si="16"/>
        <v>0</v>
      </c>
      <c r="F110" s="357">
        <f t="shared" si="16"/>
        <v>5.3967331177829116</v>
      </c>
      <c r="G110" s="357">
        <f t="shared" si="16"/>
        <v>0</v>
      </c>
      <c r="H110" s="357">
        <f t="shared" si="16"/>
        <v>0</v>
      </c>
      <c r="I110" s="357">
        <f t="shared" si="16"/>
        <v>0.9319471536482401</v>
      </c>
      <c r="J110" s="357">
        <f t="shared" si="16"/>
        <v>0.91644633864830771</v>
      </c>
      <c r="K110" s="357">
        <f t="shared" si="16"/>
        <v>0</v>
      </c>
    </row>
    <row r="111" spans="2:13" x14ac:dyDescent="0.25">
      <c r="D111" s="131" t="s">
        <v>98</v>
      </c>
      <c r="E111" s="357">
        <f t="shared" si="16"/>
        <v>19.229600000000001</v>
      </c>
      <c r="F111" s="357">
        <f t="shared" si="16"/>
        <v>1.9319040000000001</v>
      </c>
      <c r="G111" s="357">
        <f t="shared" si="16"/>
        <v>2.9068000000000005</v>
      </c>
      <c r="H111" s="357">
        <f t="shared" si="16"/>
        <v>0</v>
      </c>
      <c r="I111" s="357">
        <f t="shared" si="16"/>
        <v>0.24257861307692305</v>
      </c>
      <c r="J111" s="357">
        <f t="shared" si="16"/>
        <v>0.45469134761419017</v>
      </c>
      <c r="K111" s="357">
        <f t="shared" si="16"/>
        <v>0</v>
      </c>
    </row>
    <row r="113" spans="4:19" x14ac:dyDescent="0.25">
      <c r="D113" t="s">
        <v>143</v>
      </c>
      <c r="E113" s="342">
        <f>SUM(E108:E111)</f>
        <v>47.994636865248793</v>
      </c>
      <c r="F113" s="342">
        <f>SUM(F108:F111)</f>
        <v>17.383575380289376</v>
      </c>
      <c r="G113" s="342">
        <f>SUM(G108:G111)</f>
        <v>29.827771354988322</v>
      </c>
    </row>
    <row r="114" spans="4:19" x14ac:dyDescent="0.25">
      <c r="D114" t="s">
        <v>331</v>
      </c>
      <c r="E114" s="342">
        <f>E113*1000</f>
        <v>47994.636865248794</v>
      </c>
      <c r="F114" s="342">
        <f>F113*1000</f>
        <v>17383.575380289374</v>
      </c>
      <c r="G114" s="342">
        <f>G113*1000</f>
        <v>29827.771354988323</v>
      </c>
    </row>
    <row r="115" spans="4:19" x14ac:dyDescent="0.25">
      <c r="G115" s="421">
        <f>G113/G106</f>
        <v>0.99425904516627739</v>
      </c>
      <c r="H115" t="s">
        <v>190</v>
      </c>
      <c r="N115" s="349">
        <f>'AMSA - Saldanha'!B81</f>
        <v>242.57861307692306</v>
      </c>
      <c r="O115" t="s">
        <v>587</v>
      </c>
    </row>
    <row r="116" spans="4:19" x14ac:dyDescent="0.25">
      <c r="E116" t="s">
        <v>591</v>
      </c>
    </row>
    <row r="118" spans="4:19" x14ac:dyDescent="0.25">
      <c r="D118" s="131" t="s">
        <v>7</v>
      </c>
      <c r="E118" s="412">
        <f t="shared" ref="E118:K118" si="17">E99/$L99</f>
        <v>0.26361053874824431</v>
      </c>
      <c r="F118" s="368">
        <f t="shared" si="17"/>
        <v>0.12782206880423377</v>
      </c>
      <c r="G118" s="412">
        <f t="shared" si="17"/>
        <v>0.54033090194192068</v>
      </c>
      <c r="H118" s="412">
        <f t="shared" si="17"/>
        <v>0</v>
      </c>
      <c r="I118" s="412">
        <f t="shared" si="17"/>
        <v>3.6181323290069074E-2</v>
      </c>
      <c r="J118" s="412">
        <f t="shared" si="17"/>
        <v>3.2055167215532178E-2</v>
      </c>
      <c r="K118" s="412">
        <f t="shared" si="17"/>
        <v>0</v>
      </c>
    </row>
    <row r="119" spans="4:19" x14ac:dyDescent="0.25">
      <c r="D119" s="131" t="s">
        <v>176</v>
      </c>
      <c r="E119" s="412">
        <f t="shared" ref="E119:K119" si="18">E100/$L100</f>
        <v>0.74238447012267461</v>
      </c>
      <c r="F119" s="412">
        <f t="shared" si="18"/>
        <v>0.17508378988061105</v>
      </c>
      <c r="G119" s="412">
        <f t="shared" si="18"/>
        <v>0</v>
      </c>
      <c r="H119" s="412">
        <f t="shared" si="18"/>
        <v>0</v>
      </c>
      <c r="I119" s="412">
        <f t="shared" si="18"/>
        <v>0</v>
      </c>
      <c r="J119" s="412">
        <f t="shared" si="18"/>
        <v>8.2531739996714287E-2</v>
      </c>
      <c r="K119" s="412">
        <f t="shared" si="18"/>
        <v>0</v>
      </c>
    </row>
    <row r="120" spans="4:19" x14ac:dyDescent="0.25">
      <c r="D120" s="131" t="s">
        <v>463</v>
      </c>
      <c r="E120" s="412">
        <f t="shared" ref="E120:K120" si="19">E101/$L101</f>
        <v>0</v>
      </c>
      <c r="F120" s="412">
        <f t="shared" si="19"/>
        <v>0.74487768236857965</v>
      </c>
      <c r="G120" s="412">
        <f t="shared" si="19"/>
        <v>0</v>
      </c>
      <c r="H120" s="412">
        <f t="shared" si="19"/>
        <v>0</v>
      </c>
      <c r="I120" s="412">
        <f t="shared" si="19"/>
        <v>0.12863089961074112</v>
      </c>
      <c r="J120" s="412">
        <f t="shared" si="19"/>
        <v>0.12649141802067926</v>
      </c>
      <c r="K120" s="412">
        <f t="shared" si="19"/>
        <v>0</v>
      </c>
    </row>
    <row r="121" spans="4:19" x14ac:dyDescent="0.25">
      <c r="D121" s="131" t="s">
        <v>98</v>
      </c>
      <c r="E121" s="412">
        <f t="shared" ref="E121:K121" si="20">E102/$L102</f>
        <v>0.77646494405992639</v>
      </c>
      <c r="F121" s="412">
        <f t="shared" si="20"/>
        <v>7.8007640891601907E-2</v>
      </c>
      <c r="G121" s="412">
        <f t="shared" si="20"/>
        <v>0.11737260782301213</v>
      </c>
      <c r="H121" s="412">
        <f t="shared" si="20"/>
        <v>0</v>
      </c>
      <c r="I121" s="412">
        <f t="shared" si="20"/>
        <v>9.794992575659793E-3</v>
      </c>
      <c r="J121" s="412">
        <f t="shared" si="20"/>
        <v>1.8359814649799511E-2</v>
      </c>
      <c r="K121" s="412">
        <f t="shared" si="20"/>
        <v>0</v>
      </c>
    </row>
    <row r="122" spans="4:19" x14ac:dyDescent="0.25">
      <c r="D122" s="448" t="s">
        <v>18</v>
      </c>
      <c r="E122" s="412">
        <f t="shared" ref="E122:K122" si="21">E103/$L103</f>
        <v>0.46153846153846151</v>
      </c>
      <c r="F122" s="412">
        <f t="shared" si="21"/>
        <v>0.46153846153846151</v>
      </c>
      <c r="G122" s="412">
        <f t="shared" si="21"/>
        <v>0</v>
      </c>
      <c r="H122" s="412">
        <f t="shared" si="21"/>
        <v>0</v>
      </c>
      <c r="I122" s="412">
        <f t="shared" si="21"/>
        <v>0</v>
      </c>
      <c r="J122" s="412">
        <f t="shared" si="21"/>
        <v>7.6923076923076913E-2</v>
      </c>
      <c r="K122" s="412">
        <f t="shared" si="21"/>
        <v>0</v>
      </c>
    </row>
    <row r="123" spans="4:19" x14ac:dyDescent="0.25">
      <c r="M123" s="427" t="s">
        <v>579</v>
      </c>
    </row>
    <row r="124" spans="4:19" x14ac:dyDescent="0.25">
      <c r="M124" s="445">
        <v>3.26</v>
      </c>
      <c r="N124" s="16" t="s">
        <v>436</v>
      </c>
      <c r="O124" s="446" t="s">
        <v>574</v>
      </c>
      <c r="P124" s="3"/>
    </row>
    <row r="125" spans="4:19" x14ac:dyDescent="0.25">
      <c r="M125" s="4">
        <f>M124*3.6</f>
        <v>11.735999999999999</v>
      </c>
      <c r="N125" s="12" t="s">
        <v>143</v>
      </c>
      <c r="O125" s="12" t="s">
        <v>574</v>
      </c>
      <c r="P125" s="5"/>
    </row>
    <row r="126" spans="4:19" x14ac:dyDescent="0.25">
      <c r="M126" s="447">
        <v>0.28899999999999998</v>
      </c>
      <c r="N126" s="392" t="s">
        <v>290</v>
      </c>
      <c r="O126" s="392" t="s">
        <v>575</v>
      </c>
      <c r="P126" s="5"/>
      <c r="R126" s="443">
        <f>M126/M124</f>
        <v>8.8650306748466259E-2</v>
      </c>
      <c r="S126" t="s">
        <v>584</v>
      </c>
    </row>
    <row r="127" spans="4:19" x14ac:dyDescent="0.25">
      <c r="M127" s="7">
        <f>M126*3.6</f>
        <v>1.0404</v>
      </c>
      <c r="N127" s="8" t="s">
        <v>143</v>
      </c>
      <c r="O127" s="8" t="s">
        <v>575</v>
      </c>
      <c r="P127" s="9"/>
      <c r="R127">
        <f>R126/(SUM(E73:E74)/SUM(E73:E74,E76))</f>
        <v>0.11478718516217547</v>
      </c>
      <c r="S127" t="s">
        <v>585</v>
      </c>
    </row>
    <row r="129" spans="13:15" x14ac:dyDescent="0.25">
      <c r="M129">
        <f>M125+M127</f>
        <v>12.776399999999999</v>
      </c>
      <c r="O129" t="s">
        <v>580</v>
      </c>
    </row>
    <row r="130" spans="13:15" x14ac:dyDescent="0.25">
      <c r="M130">
        <f>M125</f>
        <v>11.735999999999999</v>
      </c>
      <c r="O130" t="s">
        <v>576</v>
      </c>
    </row>
    <row r="131" spans="13:15" x14ac:dyDescent="0.25">
      <c r="M131" s="432">
        <f>F110</f>
        <v>5.3967331177829116</v>
      </c>
      <c r="O131" t="s">
        <v>581</v>
      </c>
    </row>
    <row r="132" spans="13:15" x14ac:dyDescent="0.25">
      <c r="M132" s="355">
        <f>SUM(M130:M131)</f>
        <v>17.132733117782912</v>
      </c>
      <c r="O132" t="s">
        <v>577</v>
      </c>
    </row>
    <row r="133" spans="13:15" x14ac:dyDescent="0.25">
      <c r="M133" s="444">
        <f>R82/1000</f>
        <v>17.312000000000001</v>
      </c>
      <c r="O133" t="s">
        <v>582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 tint="0.34998626667073579"/>
  </sheetPr>
  <dimension ref="A1:AG266"/>
  <sheetViews>
    <sheetView topLeftCell="A223" zoomScale="85" zoomScaleNormal="85" workbookViewId="0">
      <selection activeCell="M11" sqref="M11"/>
    </sheetView>
  </sheetViews>
  <sheetFormatPr defaultRowHeight="15" x14ac:dyDescent="0.25"/>
  <cols>
    <col min="2" max="2" width="15.85546875" customWidth="1"/>
    <col min="3" max="3" width="12.7109375" customWidth="1"/>
    <col min="4" max="5" width="10.28515625" bestFit="1" customWidth="1"/>
    <col min="6" max="6" width="10.28515625" customWidth="1"/>
    <col min="7" max="12" width="12.28515625" bestFit="1" customWidth="1"/>
    <col min="13" max="13" width="12.28515625" style="255" bestFit="1" customWidth="1"/>
    <col min="14" max="15" width="12.28515625" bestFit="1" customWidth="1"/>
    <col min="16" max="16" width="13.42578125" customWidth="1"/>
    <col min="18" max="19" width="9.7109375" bestFit="1" customWidth="1"/>
  </cols>
  <sheetData>
    <row r="1" spans="1:30" x14ac:dyDescent="0.25">
      <c r="G1" s="10">
        <v>2006</v>
      </c>
      <c r="H1" s="10">
        <v>2007</v>
      </c>
      <c r="I1" s="10">
        <v>2008</v>
      </c>
      <c r="J1" s="10">
        <v>2009</v>
      </c>
      <c r="K1" s="10">
        <v>2010</v>
      </c>
      <c r="L1" s="10">
        <v>2011</v>
      </c>
      <c r="M1" s="10">
        <v>2012</v>
      </c>
      <c r="N1" s="10">
        <v>2013</v>
      </c>
      <c r="O1" s="10">
        <v>2014</v>
      </c>
      <c r="P1" s="10">
        <v>2015</v>
      </c>
      <c r="Q1" s="10">
        <v>2016</v>
      </c>
      <c r="R1" s="10">
        <v>2017</v>
      </c>
      <c r="S1" s="10">
        <v>2018</v>
      </c>
      <c r="T1" s="10">
        <v>2019</v>
      </c>
      <c r="U1" s="10">
        <v>2020</v>
      </c>
    </row>
    <row r="2" spans="1:30" ht="26.25" x14ac:dyDescent="0.4">
      <c r="A2" s="2" t="s">
        <v>6</v>
      </c>
    </row>
    <row r="3" spans="1:30" x14ac:dyDescent="0.25">
      <c r="N3" s="12"/>
      <c r="O3" s="12"/>
    </row>
    <row r="4" spans="1:30" x14ac:dyDescent="0.25">
      <c r="N4" s="12"/>
      <c r="O4" s="12"/>
      <c r="P4" s="12"/>
    </row>
    <row r="5" spans="1:30" x14ac:dyDescent="0.25">
      <c r="B5" s="15"/>
      <c r="C5" s="107" t="s">
        <v>160</v>
      </c>
      <c r="D5" s="107" t="s">
        <v>357</v>
      </c>
      <c r="E5" s="107"/>
      <c r="F5" s="107"/>
      <c r="G5" s="107"/>
      <c r="H5" s="107"/>
      <c r="I5" s="107"/>
      <c r="J5" s="107"/>
      <c r="K5" s="107"/>
      <c r="L5" s="107"/>
      <c r="M5" s="272"/>
      <c r="N5" s="107" t="s">
        <v>359</v>
      </c>
      <c r="O5" s="16"/>
      <c r="P5" s="16"/>
      <c r="Q5" s="16"/>
      <c r="R5" s="16"/>
      <c r="S5" s="16"/>
      <c r="T5" s="107"/>
      <c r="U5" s="108"/>
      <c r="Z5" s="14"/>
      <c r="AA5" s="14"/>
      <c r="AB5" s="14"/>
      <c r="AC5" s="14"/>
      <c r="AD5" s="14"/>
    </row>
    <row r="6" spans="1:30" x14ac:dyDescent="0.25">
      <c r="B6" s="4"/>
      <c r="C6" s="110"/>
      <c r="D6" s="110" t="s">
        <v>358</v>
      </c>
      <c r="E6" s="110"/>
      <c r="F6" s="110"/>
      <c r="G6" s="110"/>
      <c r="H6" s="110"/>
      <c r="I6" s="110"/>
      <c r="J6" s="110"/>
      <c r="K6" s="110"/>
      <c r="L6" s="110"/>
      <c r="M6" s="273"/>
      <c r="N6" s="109"/>
      <c r="O6" s="110"/>
      <c r="P6" s="12"/>
      <c r="Q6" s="12"/>
      <c r="R6" s="12"/>
      <c r="S6" s="12"/>
      <c r="T6" s="110"/>
      <c r="U6" s="111"/>
      <c r="V6" s="12"/>
      <c r="W6" s="12"/>
      <c r="X6" s="12"/>
      <c r="Y6" s="12"/>
      <c r="Z6" s="14"/>
      <c r="AA6" s="14"/>
      <c r="AB6" s="14"/>
      <c r="AC6" s="14"/>
      <c r="AD6" s="14"/>
    </row>
    <row r="7" spans="1:30" x14ac:dyDescent="0.25">
      <c r="B7" s="4"/>
      <c r="C7" s="115" t="s">
        <v>185</v>
      </c>
      <c r="D7" s="12"/>
      <c r="E7" s="12"/>
      <c r="F7" s="12"/>
      <c r="G7" s="12"/>
      <c r="H7" s="12"/>
      <c r="I7" s="110"/>
      <c r="J7" s="110"/>
      <c r="K7" s="110"/>
      <c r="L7" s="110"/>
      <c r="M7" s="273" t="s">
        <v>186</v>
      </c>
      <c r="N7" s="109"/>
      <c r="O7" s="110"/>
      <c r="P7" s="12"/>
      <c r="Q7" s="12"/>
      <c r="R7" s="12"/>
      <c r="S7" s="12"/>
      <c r="T7" s="110"/>
      <c r="U7" s="111"/>
      <c r="V7" s="110"/>
      <c r="W7" s="110"/>
      <c r="X7" s="110"/>
      <c r="Y7" s="110"/>
      <c r="Z7" s="14"/>
      <c r="AA7" s="14"/>
      <c r="AB7" s="14"/>
      <c r="AC7" s="14"/>
      <c r="AD7" s="14"/>
    </row>
    <row r="8" spans="1:30" x14ac:dyDescent="0.25">
      <c r="B8" s="121" t="s">
        <v>162</v>
      </c>
      <c r="C8" s="119" t="s">
        <v>163</v>
      </c>
      <c r="D8" s="119" t="s">
        <v>164</v>
      </c>
      <c r="E8" s="119" t="s">
        <v>165</v>
      </c>
      <c r="F8" s="119" t="s">
        <v>192</v>
      </c>
      <c r="G8" s="12"/>
      <c r="H8" s="12"/>
      <c r="I8" s="110"/>
      <c r="J8" s="12"/>
      <c r="K8" s="12"/>
      <c r="L8" s="12"/>
      <c r="M8" s="274" t="s">
        <v>166</v>
      </c>
      <c r="N8" s="109"/>
      <c r="O8" s="110"/>
      <c r="P8" s="12"/>
      <c r="Q8" s="12"/>
      <c r="R8" s="12"/>
      <c r="S8" s="12"/>
      <c r="T8" s="110"/>
      <c r="U8" s="111"/>
      <c r="V8" s="110"/>
      <c r="W8" s="110"/>
      <c r="X8" s="110"/>
      <c r="Y8" s="110"/>
      <c r="Z8" s="14"/>
      <c r="AA8" s="14"/>
      <c r="AB8" s="14"/>
      <c r="AC8" s="14"/>
      <c r="AD8" s="14"/>
    </row>
    <row r="9" spans="1:30" x14ac:dyDescent="0.25">
      <c r="B9" s="122" t="s">
        <v>167</v>
      </c>
      <c r="C9" s="120"/>
      <c r="D9" s="120"/>
      <c r="E9" s="120"/>
      <c r="F9" s="12"/>
      <c r="G9" s="683" t="s">
        <v>615</v>
      </c>
      <c r="H9" s="683"/>
      <c r="I9" s="683"/>
      <c r="J9" s="683"/>
      <c r="K9" s="12"/>
      <c r="L9" s="12"/>
      <c r="M9" s="274"/>
      <c r="N9" s="109"/>
      <c r="O9" s="110"/>
      <c r="P9" s="12"/>
      <c r="Q9" s="12"/>
      <c r="R9" s="12"/>
      <c r="S9" s="12"/>
      <c r="T9" s="110"/>
      <c r="U9" s="111"/>
      <c r="V9" s="110"/>
      <c r="W9" s="110"/>
      <c r="X9" s="110"/>
      <c r="Y9" s="110"/>
      <c r="Z9" s="14"/>
      <c r="AD9" s="14"/>
    </row>
    <row r="10" spans="1:30" x14ac:dyDescent="0.25">
      <c r="B10" s="123" t="s">
        <v>168</v>
      </c>
      <c r="C10" s="114" t="s">
        <v>169</v>
      </c>
      <c r="D10" s="114" t="s">
        <v>16</v>
      </c>
      <c r="E10" s="114" t="s">
        <v>24</v>
      </c>
      <c r="F10" s="12" t="s">
        <v>7</v>
      </c>
      <c r="G10" s="394" t="s">
        <v>500</v>
      </c>
      <c r="H10" s="458">
        <f>(110+150)*12/1000</f>
        <v>3.12</v>
      </c>
      <c r="I10" s="461" t="s">
        <v>501</v>
      </c>
      <c r="J10" s="460">
        <f>250*12/1000</f>
        <v>3</v>
      </c>
      <c r="K10" s="110" t="s">
        <v>520</v>
      </c>
      <c r="L10" s="12"/>
      <c r="M10" s="275">
        <v>3</v>
      </c>
      <c r="N10" s="109">
        <f t="shared" ref="N10:U14" si="0">M10</f>
        <v>3</v>
      </c>
      <c r="O10" s="110">
        <f t="shared" si="0"/>
        <v>3</v>
      </c>
      <c r="P10" s="110">
        <f t="shared" si="0"/>
        <v>3</v>
      </c>
      <c r="Q10" s="110">
        <f t="shared" si="0"/>
        <v>3</v>
      </c>
      <c r="R10" s="110">
        <f t="shared" si="0"/>
        <v>3</v>
      </c>
      <c r="S10" s="110">
        <f t="shared" si="0"/>
        <v>3</v>
      </c>
      <c r="T10" s="110">
        <f t="shared" si="0"/>
        <v>3</v>
      </c>
      <c r="U10" s="111">
        <f t="shared" si="0"/>
        <v>3</v>
      </c>
      <c r="V10" s="110"/>
      <c r="W10" s="110"/>
      <c r="X10" s="110"/>
      <c r="Y10" s="110"/>
      <c r="Z10" s="14"/>
      <c r="AD10" s="14"/>
    </row>
    <row r="11" spans="1:30" x14ac:dyDescent="0.25">
      <c r="B11" s="123" t="s">
        <v>168</v>
      </c>
      <c r="C11" s="114" t="s">
        <v>169</v>
      </c>
      <c r="D11" s="114" t="s">
        <v>171</v>
      </c>
      <c r="E11" s="114" t="s">
        <v>1</v>
      </c>
      <c r="F11" s="12" t="s">
        <v>9</v>
      </c>
      <c r="G11" s="395" t="s">
        <v>524</v>
      </c>
      <c r="H11" s="459">
        <f>(87.5+29.2)*12/1000</f>
        <v>1.4004000000000001</v>
      </c>
      <c r="I11" s="461" t="s">
        <v>502</v>
      </c>
      <c r="J11" s="458">
        <f>120*12/1000</f>
        <v>1.44</v>
      </c>
      <c r="K11" s="110" t="s">
        <v>520</v>
      </c>
      <c r="L11" s="12"/>
      <c r="M11" s="275">
        <v>1.44</v>
      </c>
      <c r="N11" s="109">
        <f t="shared" si="0"/>
        <v>1.44</v>
      </c>
      <c r="O11" s="110">
        <f t="shared" si="0"/>
        <v>1.44</v>
      </c>
      <c r="P11" s="110">
        <f t="shared" si="0"/>
        <v>1.44</v>
      </c>
      <c r="Q11" s="110">
        <f t="shared" si="0"/>
        <v>1.44</v>
      </c>
      <c r="R11" s="110">
        <f t="shared" si="0"/>
        <v>1.44</v>
      </c>
      <c r="S11" s="110">
        <f t="shared" si="0"/>
        <v>1.44</v>
      </c>
      <c r="T11" s="110">
        <f t="shared" si="0"/>
        <v>1.44</v>
      </c>
      <c r="U11" s="111">
        <f t="shared" si="0"/>
        <v>1.44</v>
      </c>
      <c r="V11" s="110"/>
      <c r="W11" s="110"/>
      <c r="X11" s="110"/>
      <c r="Y11" s="110"/>
      <c r="Z11" s="14"/>
      <c r="AD11" s="14"/>
    </row>
    <row r="12" spans="1:30" x14ac:dyDescent="0.25">
      <c r="B12" s="123" t="s">
        <v>168</v>
      </c>
      <c r="C12" s="114" t="s">
        <v>174</v>
      </c>
      <c r="D12" s="114" t="s">
        <v>16</v>
      </c>
      <c r="E12" s="114" t="s">
        <v>24</v>
      </c>
      <c r="F12" s="12" t="s">
        <v>7</v>
      </c>
      <c r="G12" s="394" t="s">
        <v>503</v>
      </c>
      <c r="I12" s="394" t="s">
        <v>501</v>
      </c>
      <c r="K12" s="110" t="s">
        <v>519</v>
      </c>
      <c r="L12" s="12"/>
      <c r="M12" s="275">
        <v>1.9</v>
      </c>
      <c r="N12" s="109">
        <f t="shared" si="0"/>
        <v>1.9</v>
      </c>
      <c r="O12" s="110">
        <f t="shared" si="0"/>
        <v>1.9</v>
      </c>
      <c r="P12" s="110">
        <f t="shared" si="0"/>
        <v>1.9</v>
      </c>
      <c r="Q12" s="110">
        <f t="shared" si="0"/>
        <v>1.9</v>
      </c>
      <c r="R12" s="110">
        <f t="shared" si="0"/>
        <v>1.9</v>
      </c>
      <c r="S12" s="110">
        <f t="shared" si="0"/>
        <v>1.9</v>
      </c>
      <c r="T12" s="110">
        <f t="shared" si="0"/>
        <v>1.9</v>
      </c>
      <c r="U12" s="111">
        <f t="shared" si="0"/>
        <v>1.9</v>
      </c>
      <c r="V12" s="110"/>
      <c r="W12" s="110"/>
      <c r="X12" s="110"/>
      <c r="Y12" s="110"/>
      <c r="Z12" s="14"/>
      <c r="AD12" s="14"/>
    </row>
    <row r="13" spans="1:30" x14ac:dyDescent="0.25">
      <c r="B13" s="123" t="s">
        <v>168</v>
      </c>
      <c r="C13" s="114" t="s">
        <v>177</v>
      </c>
      <c r="D13" s="114" t="s">
        <v>178</v>
      </c>
      <c r="E13" s="114" t="s">
        <v>1</v>
      </c>
      <c r="F13" s="12" t="s">
        <v>8</v>
      </c>
      <c r="G13" s="12"/>
      <c r="I13" s="12"/>
      <c r="K13" s="110" t="s">
        <v>519</v>
      </c>
      <c r="L13" s="12"/>
      <c r="M13" s="275">
        <v>0.4</v>
      </c>
      <c r="N13" s="109">
        <f t="shared" si="0"/>
        <v>0.4</v>
      </c>
      <c r="O13" s="110">
        <f t="shared" si="0"/>
        <v>0.4</v>
      </c>
      <c r="P13" s="110">
        <f t="shared" si="0"/>
        <v>0.4</v>
      </c>
      <c r="Q13" s="110">
        <f>P13</f>
        <v>0.4</v>
      </c>
      <c r="R13" s="110">
        <f>Q13</f>
        <v>0.4</v>
      </c>
      <c r="S13" s="110">
        <f>R13</f>
        <v>0.4</v>
      </c>
      <c r="T13" s="110">
        <f>S13</f>
        <v>0.4</v>
      </c>
      <c r="U13" s="110">
        <f>T13</f>
        <v>0.4</v>
      </c>
      <c r="V13" s="110"/>
      <c r="W13" s="110" t="s">
        <v>778</v>
      </c>
      <c r="X13" s="110"/>
      <c r="Y13" s="110"/>
      <c r="Z13" s="14"/>
      <c r="AD13" s="14"/>
    </row>
    <row r="14" spans="1:30" x14ac:dyDescent="0.25">
      <c r="B14" s="123" t="s">
        <v>168</v>
      </c>
      <c r="C14" s="114" t="s">
        <v>180</v>
      </c>
      <c r="D14" s="114" t="s">
        <v>96</v>
      </c>
      <c r="E14" s="114" t="s">
        <v>98</v>
      </c>
      <c r="F14" s="130" t="s">
        <v>173</v>
      </c>
      <c r="G14" s="12"/>
      <c r="I14" s="12"/>
      <c r="K14" s="110" t="s">
        <v>520</v>
      </c>
      <c r="L14" s="12"/>
      <c r="M14" s="276">
        <v>0.68</v>
      </c>
      <c r="N14" s="109">
        <f t="shared" si="0"/>
        <v>0.68</v>
      </c>
      <c r="O14" s="110">
        <f t="shared" si="0"/>
        <v>0.68</v>
      </c>
      <c r="P14" s="110">
        <f t="shared" si="0"/>
        <v>0.68</v>
      </c>
      <c r="Q14" s="110">
        <f t="shared" si="0"/>
        <v>0.68</v>
      </c>
      <c r="R14" s="110">
        <f t="shared" si="0"/>
        <v>0.68</v>
      </c>
      <c r="S14" s="110">
        <f t="shared" si="0"/>
        <v>0.68</v>
      </c>
      <c r="T14" s="110">
        <f t="shared" si="0"/>
        <v>0.68</v>
      </c>
      <c r="U14" s="111">
        <f t="shared" si="0"/>
        <v>0.68</v>
      </c>
      <c r="V14" s="110"/>
      <c r="W14" s="110"/>
      <c r="X14" s="110"/>
      <c r="Y14" s="110"/>
      <c r="Z14" s="14"/>
      <c r="AD14" s="14"/>
    </row>
    <row r="15" spans="1:30" x14ac:dyDescent="0.25">
      <c r="B15" s="123" t="s">
        <v>168</v>
      </c>
      <c r="C15" s="114" t="s">
        <v>180</v>
      </c>
      <c r="D15" s="114" t="s">
        <v>171</v>
      </c>
      <c r="E15" s="115" t="s">
        <v>98</v>
      </c>
      <c r="F15" s="130" t="s">
        <v>173</v>
      </c>
      <c r="G15" s="12"/>
      <c r="I15" s="12"/>
      <c r="K15" s="110" t="s">
        <v>520</v>
      </c>
      <c r="L15" s="12"/>
      <c r="M15" s="276">
        <v>0.56000000000000005</v>
      </c>
      <c r="N15" s="109">
        <f>M15</f>
        <v>0.56000000000000005</v>
      </c>
      <c r="O15" s="110">
        <f t="shared" ref="O15:U15" si="1">N15</f>
        <v>0.56000000000000005</v>
      </c>
      <c r="P15" s="110">
        <f t="shared" si="1"/>
        <v>0.56000000000000005</v>
      </c>
      <c r="Q15" s="110">
        <f t="shared" si="1"/>
        <v>0.56000000000000005</v>
      </c>
      <c r="R15" s="110">
        <f t="shared" si="1"/>
        <v>0.56000000000000005</v>
      </c>
      <c r="S15" s="110">
        <f t="shared" si="1"/>
        <v>0.56000000000000005</v>
      </c>
      <c r="T15" s="110">
        <f t="shared" si="1"/>
        <v>0.56000000000000005</v>
      </c>
      <c r="U15" s="111">
        <f t="shared" si="1"/>
        <v>0.56000000000000005</v>
      </c>
      <c r="V15" s="110"/>
      <c r="W15" s="110"/>
      <c r="X15" s="110"/>
      <c r="Y15" s="110"/>
      <c r="Z15" s="14"/>
      <c r="AA15" s="14"/>
      <c r="AB15" s="14"/>
      <c r="AC15" s="14"/>
      <c r="AD15" s="14"/>
    </row>
    <row r="16" spans="1:30" x14ac:dyDescent="0.25">
      <c r="B16" s="123" t="s">
        <v>182</v>
      </c>
      <c r="C16" s="114" t="s">
        <v>183</v>
      </c>
      <c r="D16" s="114" t="s">
        <v>17</v>
      </c>
      <c r="E16" s="114" t="s">
        <v>24</v>
      </c>
      <c r="F16" s="12" t="s">
        <v>10</v>
      </c>
      <c r="G16" s="12"/>
      <c r="H16" s="12"/>
      <c r="I16" s="110"/>
      <c r="J16" s="12"/>
      <c r="K16" s="12"/>
      <c r="L16" s="12"/>
      <c r="M16" s="275">
        <v>1</v>
      </c>
      <c r="N16" s="324">
        <f>M16</f>
        <v>1</v>
      </c>
      <c r="O16" s="271">
        <f t="shared" ref="O16:U16" si="2">N16</f>
        <v>1</v>
      </c>
      <c r="P16" s="271">
        <f t="shared" si="2"/>
        <v>1</v>
      </c>
      <c r="Q16" s="271">
        <f t="shared" si="2"/>
        <v>1</v>
      </c>
      <c r="R16" s="271">
        <f t="shared" si="2"/>
        <v>1</v>
      </c>
      <c r="S16" s="271">
        <f t="shared" si="2"/>
        <v>1</v>
      </c>
      <c r="T16" s="271">
        <f t="shared" si="2"/>
        <v>1</v>
      </c>
      <c r="U16" s="325">
        <f t="shared" si="2"/>
        <v>1</v>
      </c>
      <c r="V16" s="110"/>
      <c r="W16" s="110" t="s">
        <v>612</v>
      </c>
      <c r="X16" s="110"/>
      <c r="Y16" s="110"/>
      <c r="Z16" s="14"/>
      <c r="AA16" s="14"/>
      <c r="AB16" s="14"/>
      <c r="AC16" s="14"/>
      <c r="AD16" s="14"/>
    </row>
    <row r="17" spans="2:33" x14ac:dyDescent="0.25">
      <c r="B17" s="123" t="s">
        <v>184</v>
      </c>
      <c r="C17" s="114"/>
      <c r="D17" s="114" t="s">
        <v>178</v>
      </c>
      <c r="E17" s="114" t="s">
        <v>1</v>
      </c>
      <c r="F17" s="12" t="s">
        <v>8</v>
      </c>
      <c r="G17" s="12"/>
      <c r="H17" s="12"/>
      <c r="I17" s="110"/>
      <c r="J17" s="12"/>
      <c r="K17" s="12"/>
      <c r="L17" s="12"/>
      <c r="M17" s="275">
        <v>1.3200000000000003</v>
      </c>
      <c r="N17" s="324">
        <f>M17</f>
        <v>1.3200000000000003</v>
      </c>
      <c r="O17" s="271">
        <f t="shared" ref="O17:U17" si="3">N17</f>
        <v>1.3200000000000003</v>
      </c>
      <c r="P17" s="271">
        <f t="shared" si="3"/>
        <v>1.3200000000000003</v>
      </c>
      <c r="Q17" s="271">
        <f t="shared" si="3"/>
        <v>1.3200000000000003</v>
      </c>
      <c r="R17" s="271">
        <f t="shared" si="3"/>
        <v>1.3200000000000003</v>
      </c>
      <c r="S17" s="271">
        <f t="shared" si="3"/>
        <v>1.3200000000000003</v>
      </c>
      <c r="T17" s="271">
        <f t="shared" si="3"/>
        <v>1.3200000000000003</v>
      </c>
      <c r="U17" s="325">
        <f t="shared" si="3"/>
        <v>1.3200000000000003</v>
      </c>
      <c r="V17" s="110"/>
      <c r="W17" s="110"/>
      <c r="X17" s="110"/>
      <c r="Y17" s="110"/>
      <c r="Z17" s="14"/>
      <c r="AA17" s="14"/>
      <c r="AB17" s="14"/>
      <c r="AC17" s="14"/>
      <c r="AD17" s="14"/>
    </row>
    <row r="18" spans="2:33" x14ac:dyDescent="0.25">
      <c r="B18" s="123"/>
      <c r="C18" s="114"/>
      <c r="D18" s="114"/>
      <c r="E18" s="114"/>
      <c r="F18" s="114"/>
      <c r="G18" s="12"/>
      <c r="H18" s="12"/>
      <c r="I18" s="114"/>
      <c r="J18" s="114"/>
      <c r="K18" s="12"/>
      <c r="L18" s="12"/>
      <c r="M18" s="277">
        <f>SUM(M10:M17)</f>
        <v>10.3</v>
      </c>
      <c r="N18" s="109"/>
      <c r="O18" s="110"/>
      <c r="P18" s="12"/>
      <c r="Q18" s="12"/>
      <c r="R18" s="12"/>
      <c r="S18" s="12"/>
      <c r="T18" s="110"/>
      <c r="U18" s="111"/>
      <c r="V18" s="110"/>
      <c r="W18" s="110"/>
      <c r="X18" s="110"/>
      <c r="Y18" s="110"/>
      <c r="Z18" s="14"/>
      <c r="AA18" s="14"/>
      <c r="AB18" s="14"/>
      <c r="AC18" s="14"/>
      <c r="AD18" s="14"/>
    </row>
    <row r="19" spans="2:33" x14ac:dyDescent="0.25">
      <c r="B19" s="4"/>
      <c r="C19" s="110"/>
      <c r="E19" s="114"/>
      <c r="F19" s="114"/>
      <c r="G19" s="114"/>
      <c r="H19" s="114"/>
      <c r="I19" s="114"/>
      <c r="J19" s="114"/>
      <c r="K19" s="114"/>
      <c r="L19" s="114"/>
      <c r="M19" s="273"/>
      <c r="N19" s="109"/>
      <c r="O19" s="110"/>
      <c r="P19" s="12"/>
      <c r="Q19" s="12"/>
      <c r="R19" s="12"/>
      <c r="S19" s="12"/>
      <c r="T19" s="110"/>
      <c r="U19" s="111"/>
      <c r="V19" s="110"/>
      <c r="W19" s="110"/>
      <c r="X19" s="110"/>
      <c r="Y19" s="110"/>
      <c r="Z19" s="14"/>
      <c r="AA19" s="14"/>
      <c r="AB19" s="14"/>
      <c r="AC19" s="14"/>
      <c r="AD19" s="14"/>
    </row>
    <row r="20" spans="2:33" x14ac:dyDescent="0.25">
      <c r="B20" s="7"/>
      <c r="C20" s="117"/>
      <c r="D20" s="124"/>
      <c r="E20" s="124"/>
      <c r="F20" s="124"/>
      <c r="G20" s="124"/>
      <c r="H20" s="124"/>
      <c r="I20" s="124"/>
      <c r="J20" s="124"/>
      <c r="K20" s="125"/>
      <c r="L20" s="125"/>
      <c r="M20" s="278"/>
      <c r="N20" s="116"/>
      <c r="O20" s="117"/>
      <c r="P20" s="8"/>
      <c r="Q20" s="8"/>
      <c r="R20" s="8"/>
      <c r="S20" s="8"/>
      <c r="T20" s="117"/>
      <c r="U20" s="118"/>
      <c r="V20" s="14"/>
      <c r="W20" s="14"/>
      <c r="X20" s="14"/>
      <c r="Y20" s="14"/>
      <c r="Z20" s="14"/>
      <c r="AA20" s="14"/>
      <c r="AB20" s="14"/>
      <c r="AC20" s="14"/>
      <c r="AD20" s="14"/>
    </row>
    <row r="21" spans="2:33" x14ac:dyDescent="0.25">
      <c r="C21" s="110"/>
      <c r="D21" s="110"/>
      <c r="E21" s="110"/>
      <c r="F21" s="110"/>
      <c r="G21" s="110"/>
      <c r="H21" s="110"/>
      <c r="I21" s="110"/>
      <c r="J21" s="110"/>
      <c r="K21" s="110"/>
      <c r="L21" s="110"/>
      <c r="M21" s="257"/>
      <c r="N21" s="110"/>
      <c r="O21" s="110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</row>
    <row r="22" spans="2:33" x14ac:dyDescent="0.25">
      <c r="C22" s="110"/>
      <c r="D22" s="110"/>
      <c r="E22" s="110"/>
      <c r="F22" s="110"/>
      <c r="G22" s="110"/>
      <c r="H22" s="110"/>
      <c r="I22" s="110"/>
      <c r="J22" s="110"/>
      <c r="K22" s="110"/>
      <c r="L22" s="110"/>
      <c r="M22" s="257"/>
      <c r="N22" s="110"/>
      <c r="O22" s="110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</row>
    <row r="23" spans="2:33" ht="18.75" x14ac:dyDescent="0.3">
      <c r="B23" s="126" t="s">
        <v>188</v>
      </c>
      <c r="C23" s="110"/>
      <c r="D23" s="110"/>
      <c r="E23" s="110"/>
      <c r="F23" s="110"/>
      <c r="G23" s="110"/>
      <c r="H23" s="110"/>
      <c r="I23" s="110"/>
      <c r="J23" s="110"/>
      <c r="K23" s="110"/>
      <c r="L23" s="110"/>
      <c r="M23" s="257"/>
      <c r="N23" s="110"/>
      <c r="O23" s="110"/>
      <c r="P23" s="110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</row>
    <row r="24" spans="2:33" x14ac:dyDescent="0.25">
      <c r="B24" s="15"/>
      <c r="C24" s="107"/>
      <c r="D24" s="107"/>
      <c r="E24" s="107"/>
      <c r="F24" s="107"/>
      <c r="G24" s="107"/>
      <c r="H24" s="107"/>
      <c r="I24" s="107"/>
      <c r="J24" s="107"/>
      <c r="K24" s="107"/>
      <c r="L24" s="107"/>
      <c r="M24" s="256"/>
      <c r="N24" s="107"/>
      <c r="O24" s="107"/>
      <c r="P24" s="107"/>
      <c r="Q24" s="107"/>
      <c r="R24" s="107"/>
      <c r="S24" s="107"/>
      <c r="T24" s="107"/>
      <c r="U24" s="108"/>
      <c r="V24" s="110"/>
      <c r="W24" s="14"/>
      <c r="X24" s="14"/>
      <c r="Y24" s="14"/>
      <c r="Z24" s="14"/>
      <c r="AA24" s="14"/>
      <c r="AB24" s="14"/>
      <c r="AC24" s="14"/>
      <c r="AD24" s="14"/>
    </row>
    <row r="25" spans="2:33" x14ac:dyDescent="0.25">
      <c r="B25" s="128" t="s">
        <v>187</v>
      </c>
      <c r="C25" s="117"/>
      <c r="D25" s="117"/>
      <c r="E25" s="117"/>
      <c r="F25" s="117"/>
      <c r="G25" s="117"/>
      <c r="H25" s="117"/>
      <c r="I25" s="117"/>
      <c r="J25" s="117"/>
      <c r="K25" s="117"/>
      <c r="L25" s="117"/>
      <c r="M25" s="262" t="s">
        <v>189</v>
      </c>
      <c r="N25" s="117"/>
      <c r="O25" s="117"/>
      <c r="P25" s="117"/>
      <c r="Q25" s="117"/>
      <c r="R25" s="117"/>
      <c r="S25" s="117"/>
      <c r="T25" s="117"/>
      <c r="U25" s="118"/>
      <c r="V25" s="110"/>
      <c r="W25" s="14"/>
      <c r="X25" s="492"/>
      <c r="Y25" s="492">
        <v>2012</v>
      </c>
      <c r="Z25" s="492">
        <v>2013</v>
      </c>
      <c r="AA25" s="492">
        <v>2014</v>
      </c>
      <c r="AB25" s="492">
        <v>2015</v>
      </c>
      <c r="AC25" s="492">
        <v>2016</v>
      </c>
      <c r="AD25" s="492">
        <v>2017</v>
      </c>
      <c r="AE25" s="131">
        <v>2018</v>
      </c>
      <c r="AF25" s="131">
        <v>2019</v>
      </c>
      <c r="AG25" s="131">
        <v>2020</v>
      </c>
    </row>
    <row r="26" spans="2:33" x14ac:dyDescent="0.25">
      <c r="B26" s="142" t="s">
        <v>7</v>
      </c>
      <c r="C26" s="143"/>
      <c r="D26" s="143"/>
      <c r="E26" s="143"/>
      <c r="F26" s="143"/>
      <c r="G26" s="143"/>
      <c r="H26" s="143"/>
      <c r="I26" s="143"/>
      <c r="J26" s="143"/>
      <c r="K26" s="143"/>
      <c r="L26" s="143"/>
      <c r="M26" s="261">
        <f>SUMIFS(M$10:M$17,$F$10:$F$17,$B26)</f>
        <v>4.9000000000000004</v>
      </c>
      <c r="N26" s="143">
        <f>SUMIFS(N$10:N$17,$F$10:$F$17,$B26)</f>
        <v>4.9000000000000004</v>
      </c>
      <c r="O26" s="143">
        <f t="shared" ref="O26:U26" si="4">SUMIFS(O$10:O$17,$F$10:$F$17,$B26)</f>
        <v>4.9000000000000004</v>
      </c>
      <c r="P26" s="143">
        <f t="shared" si="4"/>
        <v>4.9000000000000004</v>
      </c>
      <c r="Q26" s="143">
        <f t="shared" si="4"/>
        <v>4.9000000000000004</v>
      </c>
      <c r="R26" s="143">
        <f t="shared" si="4"/>
        <v>4.9000000000000004</v>
      </c>
      <c r="S26" s="143">
        <f t="shared" si="4"/>
        <v>4.9000000000000004</v>
      </c>
      <c r="T26" s="143">
        <f t="shared" si="4"/>
        <v>4.9000000000000004</v>
      </c>
      <c r="U26" s="326">
        <f t="shared" si="4"/>
        <v>4.9000000000000004</v>
      </c>
      <c r="V26" s="110"/>
      <c r="W26" s="14"/>
      <c r="X26" s="492" t="s">
        <v>7</v>
      </c>
      <c r="Y26" s="492">
        <v>4.9000000000000004</v>
      </c>
      <c r="Z26" s="492">
        <v>4.9000000000000004</v>
      </c>
      <c r="AA26" s="492">
        <v>4.9000000000000004</v>
      </c>
      <c r="AB26" s="492">
        <v>4.9000000000000004</v>
      </c>
      <c r="AC26" s="492">
        <v>4.9000000000000004</v>
      </c>
      <c r="AD26" s="492">
        <v>4.9000000000000004</v>
      </c>
      <c r="AE26" s="131">
        <v>4.9000000000000004</v>
      </c>
      <c r="AF26" s="131">
        <v>4.9000000000000004</v>
      </c>
      <c r="AG26" s="131">
        <v>4.9000000000000004</v>
      </c>
    </row>
    <row r="27" spans="2:33" x14ac:dyDescent="0.25">
      <c r="B27" s="142" t="s">
        <v>173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261">
        <f t="shared" ref="M27:U30" si="5">SUMIFS(M$10:M$17,$F$10:$F$17,$B27)</f>
        <v>1.2400000000000002</v>
      </c>
      <c r="N27" s="143">
        <f t="shared" si="5"/>
        <v>1.2400000000000002</v>
      </c>
      <c r="O27" s="143">
        <f t="shared" si="5"/>
        <v>1.2400000000000002</v>
      </c>
      <c r="P27" s="143">
        <f t="shared" si="5"/>
        <v>1.2400000000000002</v>
      </c>
      <c r="Q27" s="143">
        <f t="shared" si="5"/>
        <v>1.2400000000000002</v>
      </c>
      <c r="R27" s="143">
        <f t="shared" si="5"/>
        <v>1.2400000000000002</v>
      </c>
      <c r="S27" s="143">
        <f t="shared" si="5"/>
        <v>1.2400000000000002</v>
      </c>
      <c r="T27" s="143">
        <f t="shared" si="5"/>
        <v>1.2400000000000002</v>
      </c>
      <c r="U27" s="326">
        <f t="shared" si="5"/>
        <v>1.2400000000000002</v>
      </c>
      <c r="V27" s="110"/>
      <c r="W27" s="14"/>
      <c r="X27" s="492" t="s">
        <v>173</v>
      </c>
      <c r="Y27" s="492">
        <v>1.2400000000000002</v>
      </c>
      <c r="Z27" s="492">
        <v>1.2400000000000002</v>
      </c>
      <c r="AA27" s="492">
        <v>1.2400000000000002</v>
      </c>
      <c r="AB27" s="492">
        <v>1.2400000000000002</v>
      </c>
      <c r="AC27" s="492">
        <v>1.2400000000000002</v>
      </c>
      <c r="AD27" s="492">
        <v>1.2400000000000002</v>
      </c>
      <c r="AE27" s="131">
        <v>1.2400000000000002</v>
      </c>
      <c r="AF27" s="131">
        <v>1.2400000000000002</v>
      </c>
      <c r="AG27" s="131">
        <v>1.2400000000000002</v>
      </c>
    </row>
    <row r="28" spans="2:33" x14ac:dyDescent="0.25">
      <c r="B28" s="142" t="s">
        <v>9</v>
      </c>
      <c r="C28" s="143"/>
      <c r="D28" s="143"/>
      <c r="E28" s="143"/>
      <c r="F28" s="143"/>
      <c r="G28" s="143"/>
      <c r="H28" s="143"/>
      <c r="I28" s="143"/>
      <c r="J28" s="143"/>
      <c r="K28" s="143"/>
      <c r="L28" s="143"/>
      <c r="M28" s="261">
        <f t="shared" si="5"/>
        <v>1.44</v>
      </c>
      <c r="N28" s="143">
        <f>SUMIFS(N$10:N$17,$F$10:$F$17,$B28)</f>
        <v>1.44</v>
      </c>
      <c r="O28" s="143">
        <f t="shared" si="5"/>
        <v>1.44</v>
      </c>
      <c r="P28" s="143">
        <f t="shared" si="5"/>
        <v>1.44</v>
      </c>
      <c r="Q28" s="143">
        <f t="shared" si="5"/>
        <v>1.44</v>
      </c>
      <c r="R28" s="143">
        <f t="shared" si="5"/>
        <v>1.44</v>
      </c>
      <c r="S28" s="143">
        <f t="shared" si="5"/>
        <v>1.44</v>
      </c>
      <c r="T28" s="143">
        <f t="shared" si="5"/>
        <v>1.44</v>
      </c>
      <c r="U28" s="326">
        <f t="shared" si="5"/>
        <v>1.44</v>
      </c>
      <c r="V28" s="110"/>
      <c r="W28" s="14"/>
      <c r="X28" s="492" t="s">
        <v>9</v>
      </c>
      <c r="Y28" s="492">
        <v>1.44</v>
      </c>
      <c r="Z28" s="492">
        <v>1.44</v>
      </c>
      <c r="AA28" s="492">
        <v>1.44</v>
      </c>
      <c r="AB28" s="492">
        <v>1.44</v>
      </c>
      <c r="AC28" s="492">
        <v>1.44</v>
      </c>
      <c r="AD28" s="492">
        <v>1.44</v>
      </c>
      <c r="AE28" s="131">
        <v>1.44</v>
      </c>
      <c r="AF28" s="131">
        <v>1.44</v>
      </c>
      <c r="AG28" s="131">
        <v>1.44</v>
      </c>
    </row>
    <row r="29" spans="2:33" x14ac:dyDescent="0.25">
      <c r="B29" s="142" t="s">
        <v>10</v>
      </c>
      <c r="C29" s="143"/>
      <c r="D29" s="143"/>
      <c r="E29" s="143"/>
      <c r="F29" s="143"/>
      <c r="G29" s="143"/>
      <c r="H29" s="143"/>
      <c r="I29" s="143"/>
      <c r="J29" s="143"/>
      <c r="K29" s="143"/>
      <c r="L29" s="143"/>
      <c r="M29" s="261">
        <f t="shared" si="5"/>
        <v>1</v>
      </c>
      <c r="N29" s="143">
        <f t="shared" si="5"/>
        <v>1</v>
      </c>
      <c r="O29" s="143">
        <f t="shared" si="5"/>
        <v>1</v>
      </c>
      <c r="P29" s="143">
        <f t="shared" si="5"/>
        <v>1</v>
      </c>
      <c r="Q29" s="143">
        <f t="shared" si="5"/>
        <v>1</v>
      </c>
      <c r="R29" s="143">
        <f t="shared" si="5"/>
        <v>1</v>
      </c>
      <c r="S29" s="143">
        <f t="shared" si="5"/>
        <v>1</v>
      </c>
      <c r="T29" s="143">
        <f t="shared" si="5"/>
        <v>1</v>
      </c>
      <c r="U29" s="326">
        <f t="shared" si="5"/>
        <v>1</v>
      </c>
      <c r="V29" s="110"/>
      <c r="W29" s="14"/>
      <c r="X29" s="492" t="s">
        <v>10</v>
      </c>
      <c r="Y29" s="492">
        <v>1</v>
      </c>
      <c r="Z29" s="492">
        <v>1</v>
      </c>
      <c r="AA29" s="492">
        <v>1</v>
      </c>
      <c r="AB29" s="492">
        <v>1</v>
      </c>
      <c r="AC29" s="492">
        <v>1</v>
      </c>
      <c r="AD29" s="492">
        <v>1</v>
      </c>
      <c r="AE29" s="131">
        <v>1</v>
      </c>
      <c r="AF29" s="131">
        <v>1</v>
      </c>
      <c r="AG29" s="131">
        <v>1</v>
      </c>
    </row>
    <row r="30" spans="2:33" x14ac:dyDescent="0.25">
      <c r="B30" s="142" t="s">
        <v>8</v>
      </c>
      <c r="C30" s="143"/>
      <c r="D30" s="143"/>
      <c r="E30" s="143"/>
      <c r="F30" s="143"/>
      <c r="G30" s="143"/>
      <c r="H30" s="143"/>
      <c r="I30" s="143"/>
      <c r="J30" s="143"/>
      <c r="K30" s="143"/>
      <c r="L30" s="143"/>
      <c r="M30" s="261">
        <f>SUMIFS(M$10:M$17,$F$10:$F$17,$B30)</f>
        <v>1.7200000000000002</v>
      </c>
      <c r="N30" s="143">
        <f t="shared" si="5"/>
        <v>1.7200000000000002</v>
      </c>
      <c r="O30" s="143">
        <f t="shared" si="5"/>
        <v>1.7200000000000002</v>
      </c>
      <c r="P30" s="143">
        <f t="shared" si="5"/>
        <v>1.7200000000000002</v>
      </c>
      <c r="Q30" s="143">
        <f t="shared" si="5"/>
        <v>1.7200000000000002</v>
      </c>
      <c r="R30" s="143">
        <f t="shared" si="5"/>
        <v>1.7200000000000002</v>
      </c>
      <c r="S30" s="143">
        <f t="shared" si="5"/>
        <v>1.7200000000000002</v>
      </c>
      <c r="T30" s="143">
        <f t="shared" si="5"/>
        <v>1.7200000000000002</v>
      </c>
      <c r="U30" s="326">
        <f t="shared" si="5"/>
        <v>1.7200000000000002</v>
      </c>
      <c r="V30" s="110"/>
      <c r="W30" s="14"/>
      <c r="X30" s="492" t="s">
        <v>8</v>
      </c>
      <c r="Y30" s="492">
        <v>1.7200000000000002</v>
      </c>
      <c r="Z30" s="492">
        <v>1.7200000000000002</v>
      </c>
      <c r="AA30" s="492">
        <v>1.7200000000000002</v>
      </c>
      <c r="AB30" s="492">
        <v>1.7200000000000002</v>
      </c>
      <c r="AC30" s="492">
        <v>1.3200000000000003</v>
      </c>
      <c r="AD30" s="492">
        <v>1.3200000000000003</v>
      </c>
      <c r="AE30" s="131">
        <v>1.3200000000000003</v>
      </c>
      <c r="AF30" s="131">
        <v>1.3200000000000003</v>
      </c>
      <c r="AG30" s="131">
        <v>1.3200000000000003</v>
      </c>
    </row>
    <row r="31" spans="2:33" x14ac:dyDescent="0.25">
      <c r="B31" s="129" t="s">
        <v>3</v>
      </c>
      <c r="C31" s="110"/>
      <c r="D31" s="110"/>
      <c r="E31" s="110"/>
      <c r="F31" s="110"/>
      <c r="G31" s="110"/>
      <c r="H31" s="110"/>
      <c r="I31" s="110"/>
      <c r="J31" s="110"/>
      <c r="K31" s="110"/>
      <c r="L31" s="110"/>
      <c r="M31" s="112">
        <f>SUM(M26:M30)</f>
        <v>10.3</v>
      </c>
      <c r="N31" s="127">
        <f t="shared" ref="N31:U31" si="6">SUM(N26:N30)</f>
        <v>10.3</v>
      </c>
      <c r="O31" s="127">
        <f t="shared" si="6"/>
        <v>10.3</v>
      </c>
      <c r="P31" s="127">
        <f t="shared" si="6"/>
        <v>10.3</v>
      </c>
      <c r="Q31" s="127">
        <f t="shared" si="6"/>
        <v>10.3</v>
      </c>
      <c r="R31" s="127">
        <f t="shared" si="6"/>
        <v>10.3</v>
      </c>
      <c r="S31" s="127">
        <f t="shared" si="6"/>
        <v>10.3</v>
      </c>
      <c r="T31" s="127">
        <f t="shared" si="6"/>
        <v>10.3</v>
      </c>
      <c r="U31" s="327">
        <f t="shared" si="6"/>
        <v>10.3</v>
      </c>
      <c r="V31" s="110"/>
      <c r="W31" s="14"/>
      <c r="X31" s="492" t="s">
        <v>3</v>
      </c>
      <c r="Y31" s="492">
        <v>10.3</v>
      </c>
      <c r="Z31" s="492">
        <v>10.3</v>
      </c>
      <c r="AA31" s="492">
        <v>10.3</v>
      </c>
      <c r="AB31" s="492">
        <v>10.3</v>
      </c>
      <c r="AC31" s="492">
        <v>9.9</v>
      </c>
      <c r="AD31" s="492">
        <v>9.9</v>
      </c>
      <c r="AE31" s="131">
        <v>9.9</v>
      </c>
      <c r="AF31" s="131">
        <v>9.9</v>
      </c>
      <c r="AG31" s="131">
        <v>9.9</v>
      </c>
    </row>
    <row r="32" spans="2:33" x14ac:dyDescent="0.25">
      <c r="B32" s="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261"/>
      <c r="N32" s="117"/>
      <c r="O32" s="117"/>
      <c r="P32" s="117"/>
      <c r="Q32" s="117"/>
      <c r="R32" s="117"/>
      <c r="S32" s="117"/>
      <c r="T32" s="117"/>
      <c r="U32" s="118"/>
      <c r="V32" s="110"/>
      <c r="W32" s="14"/>
      <c r="X32" s="14"/>
      <c r="Y32" s="14"/>
      <c r="Z32" s="14"/>
      <c r="AA32" s="14"/>
      <c r="AB32" s="14"/>
      <c r="AC32" s="14"/>
      <c r="AD32" s="14"/>
    </row>
    <row r="33" spans="1:30" x14ac:dyDescent="0.25">
      <c r="B33" s="12"/>
      <c r="C33" s="110"/>
      <c r="D33" s="110"/>
      <c r="E33" s="110"/>
      <c r="F33" s="110"/>
      <c r="G33" s="110"/>
      <c r="H33" s="110"/>
      <c r="I33" s="110"/>
      <c r="J33" s="110"/>
      <c r="K33" s="110"/>
      <c r="L33" s="110"/>
      <c r="M33" s="257"/>
      <c r="N33" s="110"/>
      <c r="O33" s="110"/>
      <c r="P33" s="110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</row>
    <row r="34" spans="1:30" x14ac:dyDescent="0.25">
      <c r="B34" s="12"/>
      <c r="C34" s="110"/>
      <c r="D34" s="110"/>
      <c r="E34" s="110"/>
      <c r="F34" s="110"/>
      <c r="G34" s="110"/>
      <c r="H34" s="110"/>
      <c r="I34" s="110"/>
      <c r="J34" s="110"/>
      <c r="K34" s="110"/>
      <c r="L34" s="110"/>
      <c r="M34" s="257"/>
      <c r="N34" s="110"/>
      <c r="O34" s="110"/>
      <c r="P34" s="110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</row>
    <row r="35" spans="1:30" ht="26.25" x14ac:dyDescent="0.4">
      <c r="A35" s="2" t="s">
        <v>5</v>
      </c>
    </row>
    <row r="39" spans="1:30" x14ac:dyDescent="0.25">
      <c r="B39" s="14" t="s">
        <v>33</v>
      </c>
    </row>
    <row r="40" spans="1:30" x14ac:dyDescent="0.25">
      <c r="B40" s="15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263"/>
      <c r="N40" s="16"/>
      <c r="O40" s="16"/>
      <c r="P40" s="3"/>
    </row>
    <row r="41" spans="1:30" ht="18" customHeight="1" x14ac:dyDescent="0.25">
      <c r="B41" s="4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264"/>
      <c r="N41" s="12"/>
      <c r="O41" s="12"/>
      <c r="P41" s="5"/>
    </row>
    <row r="42" spans="1:30" ht="21" customHeight="1" x14ac:dyDescent="0.25">
      <c r="B42" s="684" t="s">
        <v>2</v>
      </c>
      <c r="C42" s="688" t="s">
        <v>15</v>
      </c>
      <c r="D42" s="12" t="s">
        <v>16</v>
      </c>
      <c r="E42" s="12"/>
      <c r="F42" s="12"/>
      <c r="G42" s="1">
        <v>4435551</v>
      </c>
      <c r="H42" s="1">
        <v>3642520</v>
      </c>
      <c r="I42" s="1">
        <v>3746786</v>
      </c>
      <c r="J42" s="1">
        <v>3184566</v>
      </c>
      <c r="K42" s="1">
        <v>3695327</v>
      </c>
      <c r="L42" s="1">
        <v>3373827</v>
      </c>
      <c r="M42" s="265">
        <v>3301089</v>
      </c>
      <c r="N42" s="1">
        <v>3597996</v>
      </c>
      <c r="O42" s="1">
        <v>3048324</v>
      </c>
      <c r="P42" s="279">
        <v>3550581</v>
      </c>
    </row>
    <row r="43" spans="1:30" x14ac:dyDescent="0.25">
      <c r="B43" s="684"/>
      <c r="C43" s="688"/>
      <c r="D43" s="12" t="s">
        <v>17</v>
      </c>
      <c r="E43" s="12"/>
      <c r="F43" s="12"/>
      <c r="G43" s="1">
        <v>983556</v>
      </c>
      <c r="H43" s="1">
        <v>1009564</v>
      </c>
      <c r="I43" s="1">
        <v>930840</v>
      </c>
      <c r="J43" s="1">
        <v>429916</v>
      </c>
      <c r="K43" s="1">
        <v>985958</v>
      </c>
      <c r="L43" s="1">
        <v>659602</v>
      </c>
      <c r="M43" s="265">
        <v>620035</v>
      </c>
      <c r="N43" s="1">
        <v>638912</v>
      </c>
      <c r="O43" s="1">
        <v>665688</v>
      </c>
      <c r="P43" s="279">
        <v>283235</v>
      </c>
    </row>
    <row r="44" spans="1:30" x14ac:dyDescent="0.25">
      <c r="B44" s="684"/>
      <c r="C44" s="688"/>
      <c r="D44" s="12" t="s">
        <v>191</v>
      </c>
      <c r="E44" s="12"/>
      <c r="F44" s="12"/>
      <c r="G44" s="1">
        <v>739818</v>
      </c>
      <c r="H44" s="1">
        <v>705428</v>
      </c>
      <c r="I44" s="1">
        <v>460746</v>
      </c>
      <c r="J44" s="1">
        <v>429916</v>
      </c>
      <c r="K44" s="1">
        <v>584452</v>
      </c>
      <c r="L44" s="1">
        <v>570129</v>
      </c>
      <c r="M44" s="265">
        <v>677891</v>
      </c>
      <c r="N44" s="1">
        <v>690642</v>
      </c>
      <c r="O44" s="1">
        <v>687722</v>
      </c>
      <c r="P44" s="279">
        <v>629943</v>
      </c>
    </row>
    <row r="45" spans="1:30" x14ac:dyDescent="0.25">
      <c r="B45" s="684"/>
      <c r="C45" s="12" t="s">
        <v>19</v>
      </c>
      <c r="D45" s="12"/>
      <c r="E45" s="12"/>
      <c r="F45" s="12"/>
      <c r="G45" s="1">
        <f>SUM(G42:G44)</f>
        <v>6158925</v>
      </c>
      <c r="H45" s="1">
        <f t="shared" ref="H45:P45" si="7">SUM(H42:H44)</f>
        <v>5357512</v>
      </c>
      <c r="I45" s="1">
        <f t="shared" si="7"/>
        <v>5138372</v>
      </c>
      <c r="J45" s="1">
        <f t="shared" si="7"/>
        <v>4044398</v>
      </c>
      <c r="K45" s="1">
        <f t="shared" si="7"/>
        <v>5265737</v>
      </c>
      <c r="L45" s="1">
        <f t="shared" si="7"/>
        <v>4603558</v>
      </c>
      <c r="M45" s="265">
        <f t="shared" si="7"/>
        <v>4599015</v>
      </c>
      <c r="N45" s="1">
        <f t="shared" si="7"/>
        <v>4927550</v>
      </c>
      <c r="O45" s="1">
        <f t="shared" si="7"/>
        <v>4401734</v>
      </c>
      <c r="P45" s="279">
        <f t="shared" si="7"/>
        <v>4463759</v>
      </c>
    </row>
    <row r="46" spans="1:30" x14ac:dyDescent="0.25">
      <c r="B46" s="684"/>
      <c r="C46" s="12"/>
      <c r="D46" s="12"/>
      <c r="E46" s="12"/>
      <c r="F46" s="12"/>
      <c r="G46" s="1"/>
      <c r="H46" s="1"/>
      <c r="I46" s="1"/>
      <c r="J46" s="1"/>
      <c r="K46" s="1"/>
      <c r="L46" s="1"/>
      <c r="M46" s="265"/>
      <c r="N46" s="1"/>
      <c r="O46" s="1"/>
      <c r="P46" s="279"/>
    </row>
    <row r="47" spans="1:30" x14ac:dyDescent="0.25">
      <c r="B47" s="684"/>
      <c r="C47" s="12" t="s">
        <v>20</v>
      </c>
      <c r="D47" s="12" t="s">
        <v>21</v>
      </c>
      <c r="E47" s="12"/>
      <c r="F47" s="12"/>
      <c r="G47" s="1">
        <v>1753585</v>
      </c>
      <c r="H47" s="1">
        <v>1735914</v>
      </c>
      <c r="I47" s="1">
        <v>1177925</v>
      </c>
      <c r="J47" s="1">
        <v>1339720</v>
      </c>
      <c r="K47" s="1">
        <v>1120452</v>
      </c>
      <c r="L47" s="1">
        <v>1414164</v>
      </c>
      <c r="M47" s="265">
        <v>1493420</v>
      </c>
      <c r="N47" s="1">
        <v>1295000</v>
      </c>
      <c r="O47" s="1">
        <v>1611530</v>
      </c>
      <c r="P47" s="279">
        <v>1124971</v>
      </c>
    </row>
    <row r="48" spans="1:30" x14ac:dyDescent="0.25">
      <c r="B48" s="685"/>
      <c r="C48" s="11" t="s">
        <v>22</v>
      </c>
      <c r="D48" s="11"/>
      <c r="E48" s="11"/>
      <c r="F48" s="11"/>
      <c r="G48" s="13">
        <f>G47+G45</f>
        <v>7912510</v>
      </c>
      <c r="H48" s="13">
        <f t="shared" ref="H48:P48" si="8">H47+H45</f>
        <v>7093426</v>
      </c>
      <c r="I48" s="13">
        <f t="shared" si="8"/>
        <v>6316297</v>
      </c>
      <c r="J48" s="13">
        <f t="shared" si="8"/>
        <v>5384118</v>
      </c>
      <c r="K48" s="13">
        <f t="shared" si="8"/>
        <v>6386189</v>
      </c>
      <c r="L48" s="13">
        <f t="shared" si="8"/>
        <v>6017722</v>
      </c>
      <c r="M48" s="266">
        <f t="shared" si="8"/>
        <v>6092435</v>
      </c>
      <c r="N48" s="13">
        <f t="shared" si="8"/>
        <v>6222550</v>
      </c>
      <c r="O48" s="13">
        <f t="shared" si="8"/>
        <v>6013264</v>
      </c>
      <c r="P48" s="280">
        <f t="shared" si="8"/>
        <v>5588730</v>
      </c>
    </row>
    <row r="49" spans="2:16" x14ac:dyDescent="0.25">
      <c r="B49" s="4"/>
      <c r="C49" s="12"/>
      <c r="D49" s="12"/>
      <c r="E49" s="12"/>
      <c r="F49" s="12"/>
      <c r="G49" s="1"/>
      <c r="H49" s="1"/>
      <c r="I49" s="1"/>
      <c r="J49" s="1"/>
      <c r="K49" s="1"/>
      <c r="L49" s="1"/>
      <c r="M49" s="265"/>
      <c r="N49" s="1"/>
      <c r="O49" s="1"/>
      <c r="P49" s="279"/>
    </row>
    <row r="50" spans="2:16" x14ac:dyDescent="0.25">
      <c r="B50" s="686" t="s">
        <v>23</v>
      </c>
      <c r="C50" s="12"/>
      <c r="D50" s="12" t="s">
        <v>24</v>
      </c>
      <c r="E50" s="12"/>
      <c r="F50" s="12"/>
      <c r="G50" s="1">
        <v>5173676</v>
      </c>
      <c r="H50" s="1">
        <v>4521461</v>
      </c>
      <c r="I50" s="1">
        <v>4504275</v>
      </c>
      <c r="J50" s="1">
        <v>3953709</v>
      </c>
      <c r="K50" s="1">
        <v>4366727</v>
      </c>
      <c r="L50" s="1">
        <v>3991686</v>
      </c>
      <c r="M50" s="265">
        <v>3904276</v>
      </c>
      <c r="N50" s="1">
        <v>4271948</v>
      </c>
      <c r="O50" s="1">
        <v>3622909</v>
      </c>
      <c r="P50" s="279">
        <v>3907513</v>
      </c>
    </row>
    <row r="51" spans="2:16" x14ac:dyDescent="0.25">
      <c r="B51" s="686"/>
      <c r="C51" s="12"/>
      <c r="D51" s="12" t="s">
        <v>25</v>
      </c>
      <c r="E51" s="12"/>
      <c r="F51" s="12"/>
      <c r="G51" s="1">
        <v>4429648</v>
      </c>
      <c r="H51" s="1">
        <v>4464344</v>
      </c>
      <c r="I51" s="1">
        <v>3650683</v>
      </c>
      <c r="J51" s="1">
        <v>3530223</v>
      </c>
      <c r="K51" s="1">
        <v>3250035</v>
      </c>
      <c r="L51" s="1">
        <v>3554803</v>
      </c>
      <c r="M51" s="265">
        <v>3034124</v>
      </c>
      <c r="N51" s="1">
        <v>2889952</v>
      </c>
      <c r="O51" s="1">
        <v>2789291</v>
      </c>
      <c r="P51" s="279">
        <v>2490587</v>
      </c>
    </row>
    <row r="52" spans="2:16" ht="31.5" customHeight="1" x14ac:dyDescent="0.25">
      <c r="B52" s="687"/>
      <c r="C52" s="11" t="s">
        <v>26</v>
      </c>
      <c r="D52" s="11"/>
      <c r="E52" s="11"/>
      <c r="F52" s="11"/>
      <c r="G52" s="13">
        <f>SUM(G50:G51)</f>
        <v>9603324</v>
      </c>
      <c r="H52" s="13">
        <f t="shared" ref="H52:P52" si="9">SUM(H50:H51)</f>
        <v>8985805</v>
      </c>
      <c r="I52" s="13">
        <f t="shared" si="9"/>
        <v>8154958</v>
      </c>
      <c r="J52" s="13">
        <f t="shared" si="9"/>
        <v>7483932</v>
      </c>
      <c r="K52" s="13">
        <f t="shared" si="9"/>
        <v>7616762</v>
      </c>
      <c r="L52" s="13">
        <f t="shared" si="9"/>
        <v>7546489</v>
      </c>
      <c r="M52" s="266">
        <f t="shared" si="9"/>
        <v>6938400</v>
      </c>
      <c r="N52" s="13">
        <f t="shared" si="9"/>
        <v>7161900</v>
      </c>
      <c r="O52" s="13">
        <f t="shared" si="9"/>
        <v>6412200</v>
      </c>
      <c r="P52" s="280">
        <f t="shared" si="9"/>
        <v>6398100</v>
      </c>
    </row>
    <row r="53" spans="2:16" x14ac:dyDescent="0.25">
      <c r="B53" s="4"/>
      <c r="C53" s="12"/>
      <c r="D53" s="12"/>
      <c r="E53" s="12"/>
      <c r="F53" s="12"/>
      <c r="G53" s="1"/>
      <c r="H53" s="1"/>
      <c r="I53" s="1"/>
      <c r="J53" s="1"/>
      <c r="K53" s="1"/>
      <c r="L53" s="1"/>
      <c r="M53" s="265"/>
      <c r="N53" s="1"/>
      <c r="O53" s="1"/>
      <c r="P53" s="279"/>
    </row>
    <row r="54" spans="2:16" x14ac:dyDescent="0.25">
      <c r="B54" s="686" t="s">
        <v>27</v>
      </c>
      <c r="C54" s="12"/>
      <c r="D54" s="12" t="s">
        <v>28</v>
      </c>
      <c r="E54" s="12"/>
      <c r="F54" s="12"/>
      <c r="G54" s="1">
        <v>9559990</v>
      </c>
      <c r="H54" s="1">
        <v>8937442</v>
      </c>
      <c r="I54" s="1">
        <v>8112703</v>
      </c>
      <c r="J54" s="1">
        <v>7456012</v>
      </c>
      <c r="K54" s="1">
        <v>7578562</v>
      </c>
      <c r="L54" s="1">
        <v>7500581</v>
      </c>
      <c r="M54" s="265">
        <v>6900492</v>
      </c>
      <c r="N54" s="1">
        <v>7138554</v>
      </c>
      <c r="O54" s="1">
        <v>6380623</v>
      </c>
      <c r="P54" s="279">
        <v>6361220</v>
      </c>
    </row>
    <row r="55" spans="2:16" x14ac:dyDescent="0.25">
      <c r="B55" s="686"/>
      <c r="C55" s="12"/>
      <c r="D55" s="12" t="s">
        <v>4</v>
      </c>
      <c r="E55" s="12"/>
      <c r="F55" s="12"/>
      <c r="G55" s="1">
        <v>43334</v>
      </c>
      <c r="H55" s="1">
        <v>48363</v>
      </c>
      <c r="I55" s="1">
        <v>42255</v>
      </c>
      <c r="J55" s="1">
        <v>27920</v>
      </c>
      <c r="K55" s="1">
        <v>38200</v>
      </c>
      <c r="L55" s="1">
        <v>45908</v>
      </c>
      <c r="M55" s="265">
        <v>37908</v>
      </c>
      <c r="N55" s="1">
        <v>23346</v>
      </c>
      <c r="O55" s="1">
        <v>31577</v>
      </c>
      <c r="P55" s="279">
        <v>36880</v>
      </c>
    </row>
    <row r="56" spans="2:16" x14ac:dyDescent="0.25">
      <c r="B56" s="687"/>
      <c r="C56" s="11" t="s">
        <v>29</v>
      </c>
      <c r="D56" s="11"/>
      <c r="E56" s="11"/>
      <c r="F56" s="11"/>
      <c r="G56" s="13">
        <f>SUM(G54:G55)</f>
        <v>9603324</v>
      </c>
      <c r="H56" s="13">
        <f t="shared" ref="H56:P56" si="10">SUM(H54:H55)</f>
        <v>8985805</v>
      </c>
      <c r="I56" s="13">
        <f t="shared" si="10"/>
        <v>8154958</v>
      </c>
      <c r="J56" s="13">
        <f t="shared" si="10"/>
        <v>7483932</v>
      </c>
      <c r="K56" s="13">
        <f t="shared" si="10"/>
        <v>7616762</v>
      </c>
      <c r="L56" s="13">
        <f t="shared" si="10"/>
        <v>7546489</v>
      </c>
      <c r="M56" s="266">
        <f t="shared" si="10"/>
        <v>6938400</v>
      </c>
      <c r="N56" s="13">
        <f t="shared" si="10"/>
        <v>7161900</v>
      </c>
      <c r="O56" s="13">
        <f t="shared" si="10"/>
        <v>6412200</v>
      </c>
      <c r="P56" s="280">
        <f t="shared" si="10"/>
        <v>6398100</v>
      </c>
    </row>
    <row r="57" spans="2:16" x14ac:dyDescent="0.25">
      <c r="B57" s="4"/>
      <c r="C57" s="12"/>
      <c r="D57" s="12"/>
      <c r="E57" s="12"/>
      <c r="F57" s="12"/>
      <c r="G57" s="1"/>
      <c r="H57" s="1"/>
      <c r="I57" s="1"/>
      <c r="J57" s="1"/>
      <c r="K57" s="1"/>
      <c r="L57" s="1"/>
      <c r="M57" s="265"/>
      <c r="N57" s="1"/>
      <c r="O57" s="1"/>
      <c r="P57" s="279"/>
    </row>
    <row r="58" spans="2:16" x14ac:dyDescent="0.25">
      <c r="B58" s="4"/>
      <c r="C58" s="17" t="s">
        <v>30</v>
      </c>
      <c r="D58" s="12"/>
      <c r="E58" s="12"/>
      <c r="F58" s="12"/>
      <c r="G58" s="1">
        <f>G56-G48</f>
        <v>1690814</v>
      </c>
      <c r="H58" s="1">
        <f t="shared" ref="H58:P58" si="11">H56-H48</f>
        <v>1892379</v>
      </c>
      <c r="I58" s="1">
        <f t="shared" si="11"/>
        <v>1838661</v>
      </c>
      <c r="J58" s="1">
        <f t="shared" si="11"/>
        <v>2099814</v>
      </c>
      <c r="K58" s="1">
        <f t="shared" si="11"/>
        <v>1230573</v>
      </c>
      <c r="L58" s="1">
        <f t="shared" si="11"/>
        <v>1528767</v>
      </c>
      <c r="M58" s="265">
        <f>M56-M48</f>
        <v>845965</v>
      </c>
      <c r="N58" s="1">
        <f t="shared" si="11"/>
        <v>939350</v>
      </c>
      <c r="O58" s="1">
        <f t="shared" si="11"/>
        <v>398936</v>
      </c>
      <c r="P58" s="279">
        <f t="shared" si="11"/>
        <v>809370</v>
      </c>
    </row>
    <row r="59" spans="2:16" x14ac:dyDescent="0.25">
      <c r="B59" s="4"/>
      <c r="C59" s="12"/>
      <c r="D59" s="12"/>
      <c r="E59" s="12"/>
      <c r="F59" s="12"/>
      <c r="G59" s="18">
        <f t="shared" ref="G59:P59" si="12">G58/G56</f>
        <v>0.17606549565546262</v>
      </c>
      <c r="H59" s="18">
        <f t="shared" si="12"/>
        <v>0.21059649079854281</v>
      </c>
      <c r="I59" s="18">
        <f t="shared" si="12"/>
        <v>0.22546541625352332</v>
      </c>
      <c r="J59" s="18">
        <f t="shared" si="12"/>
        <v>0.28057630667943001</v>
      </c>
      <c r="K59" s="18">
        <f t="shared" si="12"/>
        <v>0.16156117258226002</v>
      </c>
      <c r="L59" s="18">
        <f t="shared" si="12"/>
        <v>0.20257990172648499</v>
      </c>
      <c r="M59" s="267">
        <f t="shared" si="12"/>
        <v>0.12192508359275914</v>
      </c>
      <c r="N59" s="18">
        <f t="shared" si="12"/>
        <v>0.13115932922827742</v>
      </c>
      <c r="O59" s="18">
        <f t="shared" si="12"/>
        <v>6.2215152365802689E-2</v>
      </c>
      <c r="P59" s="281">
        <f t="shared" si="12"/>
        <v>0.12650161766774512</v>
      </c>
    </row>
    <row r="60" spans="2:16" x14ac:dyDescent="0.25">
      <c r="B60" s="7"/>
      <c r="C60" s="8"/>
      <c r="D60" s="8"/>
      <c r="E60" s="8"/>
      <c r="F60" s="8"/>
      <c r="G60" s="8"/>
      <c r="H60" s="8"/>
      <c r="I60" s="8"/>
      <c r="J60" s="8"/>
      <c r="K60" s="8"/>
      <c r="L60" s="8"/>
      <c r="M60" s="268"/>
      <c r="N60" s="8"/>
      <c r="O60" s="8"/>
      <c r="P60" s="9"/>
    </row>
    <row r="62" spans="2:16" x14ac:dyDescent="0.25">
      <c r="C62" t="s">
        <v>209</v>
      </c>
    </row>
    <row r="63" spans="2:16" x14ac:dyDescent="0.25">
      <c r="B63" s="15"/>
      <c r="C63" s="16"/>
      <c r="D63" s="16"/>
      <c r="E63" s="16"/>
      <c r="F63" s="332" t="s">
        <v>2</v>
      </c>
      <c r="G63" s="16"/>
      <c r="H63" s="16"/>
      <c r="I63" s="16"/>
      <c r="J63" s="16"/>
      <c r="K63" s="16"/>
      <c r="L63" s="16"/>
      <c r="M63" s="263"/>
      <c r="N63" s="16"/>
      <c r="O63" s="16"/>
      <c r="P63" s="3"/>
    </row>
    <row r="64" spans="2:16" x14ac:dyDescent="0.25">
      <c r="B64" s="4" t="s">
        <v>223</v>
      </c>
      <c r="C64" s="12" t="s">
        <v>169</v>
      </c>
      <c r="D64" s="12" t="s">
        <v>16</v>
      </c>
      <c r="E64" s="12" t="s">
        <v>24</v>
      </c>
      <c r="F64" s="12"/>
      <c r="G64" s="21">
        <f>G42-G66</f>
        <v>2715643.4693877553</v>
      </c>
      <c r="H64" s="21">
        <f t="shared" ref="H64:P64" si="13">H42-H66</f>
        <v>2230114.2857142859</v>
      </c>
      <c r="I64" s="21">
        <f t="shared" si="13"/>
        <v>2293950.6122448985</v>
      </c>
      <c r="J64" s="21">
        <f t="shared" si="13"/>
        <v>1949734.2857142859</v>
      </c>
      <c r="K64" s="21">
        <f t="shared" si="13"/>
        <v>2262445.1020408166</v>
      </c>
      <c r="L64" s="21">
        <f t="shared" si="13"/>
        <v>2065608.3673469389</v>
      </c>
      <c r="M64" s="270">
        <f t="shared" si="13"/>
        <v>2021074.8979591839</v>
      </c>
      <c r="N64" s="21">
        <f t="shared" si="13"/>
        <v>2202854.6938775512</v>
      </c>
      <c r="O64" s="21">
        <f t="shared" si="13"/>
        <v>1866320.8163265309</v>
      </c>
      <c r="P64" s="306">
        <f t="shared" si="13"/>
        <v>2173825.1020408166</v>
      </c>
    </row>
    <row r="65" spans="2:20" x14ac:dyDescent="0.25">
      <c r="B65" s="4" t="s">
        <v>223</v>
      </c>
      <c r="C65" s="12" t="s">
        <v>169</v>
      </c>
      <c r="D65" s="12" t="s">
        <v>171</v>
      </c>
      <c r="E65" s="12" t="s">
        <v>1</v>
      </c>
      <c r="F65" s="12"/>
      <c r="G65" s="21">
        <f>G47-G69</f>
        <v>1262581.2</v>
      </c>
      <c r="H65" s="21">
        <f t="shared" ref="H65:P65" si="14">H47-H69</f>
        <v>1249858.08</v>
      </c>
      <c r="I65" s="21">
        <f t="shared" si="14"/>
        <v>848106</v>
      </c>
      <c r="J65" s="21">
        <f t="shared" si="14"/>
        <v>964598.39999999991</v>
      </c>
      <c r="K65" s="21">
        <f t="shared" si="14"/>
        <v>806725.44</v>
      </c>
      <c r="L65" s="21">
        <f t="shared" si="14"/>
        <v>1018198.08</v>
      </c>
      <c r="M65" s="270">
        <f t="shared" si="14"/>
        <v>1075262.3999999999</v>
      </c>
      <c r="N65" s="21">
        <f t="shared" si="14"/>
        <v>932400</v>
      </c>
      <c r="O65" s="21">
        <f t="shared" si="14"/>
        <v>1160301.6000000001</v>
      </c>
      <c r="P65" s="306">
        <f t="shared" si="14"/>
        <v>809979.12</v>
      </c>
    </row>
    <row r="66" spans="2:20" x14ac:dyDescent="0.25">
      <c r="B66" s="4" t="s">
        <v>223</v>
      </c>
      <c r="C66" s="12" t="s">
        <v>174</v>
      </c>
      <c r="D66" s="12" t="s">
        <v>16</v>
      </c>
      <c r="E66" s="12" t="s">
        <v>24</v>
      </c>
      <c r="F66" s="12"/>
      <c r="G66" s="1">
        <f>G42*$M$12/($M$12+$M$10)</f>
        <v>1719907.5306122447</v>
      </c>
      <c r="H66" s="1">
        <f t="shared" ref="H66:P66" si="15">H42*$M$12/($M$12+$M$10)</f>
        <v>1412405.7142857141</v>
      </c>
      <c r="I66" s="1">
        <f t="shared" si="15"/>
        <v>1452835.3877551018</v>
      </c>
      <c r="J66" s="1">
        <f t="shared" si="15"/>
        <v>1234831.7142857141</v>
      </c>
      <c r="K66" s="1">
        <f t="shared" si="15"/>
        <v>1432881.8979591834</v>
      </c>
      <c r="L66" s="1">
        <f t="shared" si="15"/>
        <v>1308218.6326530611</v>
      </c>
      <c r="M66" s="265">
        <f t="shared" si="15"/>
        <v>1280014.1020408161</v>
      </c>
      <c r="N66" s="1">
        <f t="shared" si="15"/>
        <v>1395141.3061224488</v>
      </c>
      <c r="O66" s="1">
        <f t="shared" si="15"/>
        <v>1182003.1836734691</v>
      </c>
      <c r="P66" s="279">
        <f t="shared" si="15"/>
        <v>1376755.8979591834</v>
      </c>
    </row>
    <row r="67" spans="2:20" x14ac:dyDescent="0.25">
      <c r="B67" s="4" t="s">
        <v>223</v>
      </c>
      <c r="C67" s="12" t="s">
        <v>177</v>
      </c>
      <c r="D67" s="12" t="s">
        <v>178</v>
      </c>
      <c r="E67" s="12" t="s">
        <v>1</v>
      </c>
      <c r="F67" s="12"/>
      <c r="G67" s="12"/>
      <c r="H67" s="12"/>
      <c r="I67" s="12"/>
      <c r="J67" s="12"/>
      <c r="K67" s="12"/>
      <c r="L67" s="12"/>
      <c r="M67" s="264"/>
      <c r="N67" s="12"/>
      <c r="O67" s="12"/>
      <c r="P67" s="5"/>
    </row>
    <row r="68" spans="2:20" x14ac:dyDescent="0.25">
      <c r="B68" s="4" t="s">
        <v>223</v>
      </c>
      <c r="C68" s="12" t="s">
        <v>180</v>
      </c>
      <c r="D68" s="12" t="s">
        <v>96</v>
      </c>
      <c r="E68" s="12" t="s">
        <v>98</v>
      </c>
      <c r="F68" s="12"/>
      <c r="G68" s="21">
        <f>G44</f>
        <v>739818</v>
      </c>
      <c r="H68" s="21">
        <f t="shared" ref="H68:P68" si="16">H44</f>
        <v>705428</v>
      </c>
      <c r="I68" s="21">
        <f t="shared" si="16"/>
        <v>460746</v>
      </c>
      <c r="J68" s="21">
        <f t="shared" si="16"/>
        <v>429916</v>
      </c>
      <c r="K68" s="21">
        <f t="shared" si="16"/>
        <v>584452</v>
      </c>
      <c r="L68" s="21">
        <f t="shared" si="16"/>
        <v>570129</v>
      </c>
      <c r="M68" s="270">
        <f t="shared" si="16"/>
        <v>677891</v>
      </c>
      <c r="N68" s="21">
        <f t="shared" si="16"/>
        <v>690642</v>
      </c>
      <c r="O68" s="21">
        <f t="shared" si="16"/>
        <v>687722</v>
      </c>
      <c r="P68" s="306">
        <f t="shared" si="16"/>
        <v>629943</v>
      </c>
    </row>
    <row r="69" spans="2:20" x14ac:dyDescent="0.25">
      <c r="B69" s="4" t="s">
        <v>223</v>
      </c>
      <c r="C69" s="12" t="s">
        <v>180</v>
      </c>
      <c r="D69" s="12" t="s">
        <v>171</v>
      </c>
      <c r="E69" s="12" t="s">
        <v>98</v>
      </c>
      <c r="F69" s="12"/>
      <c r="G69" s="1">
        <f>G47*$M$15/($M$15+$M$11)</f>
        <v>491003.80000000005</v>
      </c>
      <c r="H69" s="1">
        <f t="shared" ref="H69:P69" si="17">H47*$M$15/($M$15+$M$11)</f>
        <v>486055.92000000004</v>
      </c>
      <c r="I69" s="1">
        <f t="shared" si="17"/>
        <v>329819.00000000006</v>
      </c>
      <c r="J69" s="1">
        <f t="shared" si="17"/>
        <v>375121.60000000003</v>
      </c>
      <c r="K69" s="1">
        <f t="shared" si="17"/>
        <v>313726.56000000006</v>
      </c>
      <c r="L69" s="1">
        <f t="shared" si="17"/>
        <v>395965.92000000004</v>
      </c>
      <c r="M69" s="265">
        <f t="shared" si="17"/>
        <v>418157.60000000003</v>
      </c>
      <c r="N69" s="1">
        <f t="shared" si="17"/>
        <v>362600.00000000006</v>
      </c>
      <c r="O69" s="1">
        <f t="shared" si="17"/>
        <v>451228.4</v>
      </c>
      <c r="P69" s="279">
        <f t="shared" si="17"/>
        <v>314991.88</v>
      </c>
    </row>
    <row r="70" spans="2:20" x14ac:dyDescent="0.25">
      <c r="B70" s="4" t="s">
        <v>182</v>
      </c>
      <c r="C70" s="12" t="s">
        <v>183</v>
      </c>
      <c r="D70" s="12" t="s">
        <v>17</v>
      </c>
      <c r="E70" s="12" t="s">
        <v>24</v>
      </c>
      <c r="F70" s="12"/>
      <c r="G70" s="21">
        <f>G43</f>
        <v>983556</v>
      </c>
      <c r="H70" s="21">
        <f t="shared" ref="H70:P70" si="18">H43</f>
        <v>1009564</v>
      </c>
      <c r="I70" s="21">
        <f t="shared" si="18"/>
        <v>930840</v>
      </c>
      <c r="J70" s="21">
        <f t="shared" si="18"/>
        <v>429916</v>
      </c>
      <c r="K70" s="21">
        <f t="shared" si="18"/>
        <v>985958</v>
      </c>
      <c r="L70" s="21">
        <f t="shared" si="18"/>
        <v>659602</v>
      </c>
      <c r="M70" s="270">
        <f t="shared" si="18"/>
        <v>620035</v>
      </c>
      <c r="N70" s="21">
        <f t="shared" si="18"/>
        <v>638912</v>
      </c>
      <c r="O70" s="21">
        <f t="shared" si="18"/>
        <v>665688</v>
      </c>
      <c r="P70" s="306">
        <f t="shared" si="18"/>
        <v>283235</v>
      </c>
    </row>
    <row r="71" spans="2:20" x14ac:dyDescent="0.25">
      <c r="B71" s="4" t="s">
        <v>184</v>
      </c>
      <c r="C71" s="12"/>
      <c r="D71" s="12" t="s">
        <v>178</v>
      </c>
      <c r="E71" s="12" t="s">
        <v>1</v>
      </c>
      <c r="F71" s="12"/>
      <c r="G71" s="12"/>
      <c r="H71" s="12"/>
      <c r="I71" s="12"/>
      <c r="J71" s="12"/>
      <c r="K71" s="12"/>
      <c r="L71" s="12"/>
      <c r="M71" s="264"/>
      <c r="N71" s="12"/>
      <c r="O71" s="12"/>
      <c r="P71" s="5"/>
    </row>
    <row r="72" spans="2:20" x14ac:dyDescent="0.25">
      <c r="B72" s="4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264"/>
      <c r="N72" s="12"/>
      <c r="O72" s="12"/>
      <c r="P72" s="5"/>
    </row>
    <row r="73" spans="2:20" x14ac:dyDescent="0.25">
      <c r="B73" s="4"/>
      <c r="C73" s="12"/>
      <c r="D73" s="12"/>
      <c r="E73" s="12" t="s">
        <v>3</v>
      </c>
      <c r="F73" s="12"/>
      <c r="G73" s="21">
        <f t="shared" ref="G73:P73" si="19">SUM(G64:G71)</f>
        <v>7912509.9999999991</v>
      </c>
      <c r="H73" s="21">
        <f t="shared" si="19"/>
        <v>7093426</v>
      </c>
      <c r="I73" s="21">
        <f t="shared" si="19"/>
        <v>6316297</v>
      </c>
      <c r="J73" s="21">
        <f t="shared" si="19"/>
        <v>5384118</v>
      </c>
      <c r="K73" s="21">
        <f t="shared" si="19"/>
        <v>6386189</v>
      </c>
      <c r="L73" s="21">
        <f t="shared" si="19"/>
        <v>6017722</v>
      </c>
      <c r="M73" s="270">
        <f t="shared" si="19"/>
        <v>6092435</v>
      </c>
      <c r="N73" s="21">
        <f t="shared" si="19"/>
        <v>6222550</v>
      </c>
      <c r="O73" s="21">
        <f t="shared" si="19"/>
        <v>6013264.0000000009</v>
      </c>
      <c r="P73" s="306">
        <f t="shared" si="19"/>
        <v>5588730</v>
      </c>
    </row>
    <row r="74" spans="2:20" x14ac:dyDescent="0.25">
      <c r="B74" s="4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264"/>
      <c r="N74" s="12"/>
      <c r="O74" s="12"/>
      <c r="P74" s="5"/>
    </row>
    <row r="75" spans="2:20" x14ac:dyDescent="0.25">
      <c r="B75" s="4"/>
      <c r="C75" s="12"/>
      <c r="D75" s="12"/>
      <c r="E75" s="12"/>
      <c r="F75" s="19" t="s">
        <v>23</v>
      </c>
      <c r="G75" s="12"/>
      <c r="H75" s="12"/>
      <c r="I75" s="12"/>
      <c r="J75" s="12"/>
      <c r="K75" s="12"/>
      <c r="L75" s="12"/>
      <c r="M75" s="264"/>
      <c r="N75" s="12"/>
      <c r="O75" s="12"/>
      <c r="P75" s="5"/>
    </row>
    <row r="76" spans="2:20" x14ac:dyDescent="0.25">
      <c r="B76" s="4" t="s">
        <v>223</v>
      </c>
      <c r="C76" s="12" t="s">
        <v>169</v>
      </c>
      <c r="D76" s="12" t="s">
        <v>16</v>
      </c>
      <c r="E76" s="12" t="s">
        <v>24</v>
      </c>
      <c r="F76" s="12"/>
      <c r="G76" s="1">
        <f>G50*(G64/(G64+G66))</f>
        <v>3167556.7346938774</v>
      </c>
      <c r="H76" s="1">
        <f t="shared" ref="H76:P76" si="20">H50*(H64/(H64+H66))</f>
        <v>2768241.4285714286</v>
      </c>
      <c r="I76" s="1">
        <f t="shared" si="20"/>
        <v>2757719.3877551025</v>
      </c>
      <c r="J76" s="1">
        <f t="shared" si="20"/>
        <v>2420638.163265306</v>
      </c>
      <c r="K76" s="1">
        <f t="shared" si="20"/>
        <v>2673506.3265306121</v>
      </c>
      <c r="L76" s="1">
        <f t="shared" si="20"/>
        <v>2443889.387755102</v>
      </c>
      <c r="M76" s="265">
        <f>M50*(M64/(M64+M66))</f>
        <v>2390373.0612244899</v>
      </c>
      <c r="N76" s="1">
        <f t="shared" si="20"/>
        <v>2615478.3673469387</v>
      </c>
      <c r="O76" s="1">
        <f t="shared" si="20"/>
        <v>2218107.5510204085</v>
      </c>
      <c r="P76" s="279">
        <f t="shared" si="20"/>
        <v>2392354.8979591839</v>
      </c>
    </row>
    <row r="77" spans="2:20" x14ac:dyDescent="0.25">
      <c r="B77" s="4" t="s">
        <v>223</v>
      </c>
      <c r="C77" s="12" t="s">
        <v>169</v>
      </c>
      <c r="D77" s="12" t="s">
        <v>171</v>
      </c>
      <c r="E77" s="12" t="s">
        <v>1</v>
      </c>
      <c r="F77" s="12"/>
      <c r="G77" s="21"/>
      <c r="H77" s="21"/>
      <c r="I77" s="21"/>
      <c r="J77" s="21"/>
      <c r="K77" s="21"/>
      <c r="L77" s="21"/>
      <c r="M77" s="270"/>
      <c r="N77" s="21"/>
      <c r="O77" s="21"/>
      <c r="P77" s="306"/>
    </row>
    <row r="78" spans="2:20" x14ac:dyDescent="0.25">
      <c r="B78" s="4" t="s">
        <v>223</v>
      </c>
      <c r="C78" s="12" t="s">
        <v>174</v>
      </c>
      <c r="D78" s="12" t="s">
        <v>16</v>
      </c>
      <c r="E78" s="12" t="s">
        <v>24</v>
      </c>
      <c r="F78" s="12"/>
      <c r="G78" s="21">
        <f>G50-G82-G76</f>
        <v>1022563.2653061226</v>
      </c>
      <c r="H78" s="21">
        <f t="shared" ref="H78:M78" si="21">H50-H82-H76</f>
        <v>743655.57142857136</v>
      </c>
      <c r="I78" s="21">
        <f t="shared" si="21"/>
        <v>815715.61224489752</v>
      </c>
      <c r="J78" s="21">
        <f t="shared" si="21"/>
        <v>1103154.836734694</v>
      </c>
      <c r="K78" s="21">
        <f t="shared" si="21"/>
        <v>707262.67346938793</v>
      </c>
      <c r="L78" s="21">
        <f t="shared" si="21"/>
        <v>888194.61224489799</v>
      </c>
      <c r="M78" s="270">
        <f t="shared" si="21"/>
        <v>893867.93877551006</v>
      </c>
      <c r="N78" s="333">
        <f>'AcelorMittal sus report data'!S43</f>
        <v>1568</v>
      </c>
      <c r="O78" s="333">
        <f>'AcelorMittal sus report data'!T43</f>
        <v>609</v>
      </c>
      <c r="P78" s="334">
        <f>'AcelorMittal sus report data'!U43</f>
        <v>1530</v>
      </c>
      <c r="R78" s="333" t="s">
        <v>360</v>
      </c>
      <c r="S78" s="333"/>
      <c r="T78" s="333"/>
    </row>
    <row r="79" spans="2:20" x14ac:dyDescent="0.25">
      <c r="B79" s="4" t="s">
        <v>223</v>
      </c>
      <c r="C79" s="12" t="s">
        <v>177</v>
      </c>
      <c r="D79" s="12" t="s">
        <v>178</v>
      </c>
      <c r="E79" s="12" t="s">
        <v>1</v>
      </c>
      <c r="F79" s="12"/>
      <c r="G79" s="21"/>
      <c r="H79" s="21"/>
      <c r="I79" s="21"/>
      <c r="J79" s="21"/>
      <c r="K79" s="21"/>
      <c r="L79" s="21"/>
      <c r="M79" s="270"/>
      <c r="N79" s="333">
        <f>'AcelorMittal sus report data'!S44</f>
        <v>299</v>
      </c>
      <c r="O79" s="333">
        <f>'AcelorMittal sus report data'!T44</f>
        <v>323</v>
      </c>
      <c r="P79" s="334">
        <f>'AcelorMittal sus report data'!U44</f>
        <v>164</v>
      </c>
    </row>
    <row r="80" spans="2:20" x14ac:dyDescent="0.25">
      <c r="B80" s="4" t="s">
        <v>223</v>
      </c>
      <c r="C80" s="12" t="s">
        <v>180</v>
      </c>
      <c r="D80" s="12" t="s">
        <v>96</v>
      </c>
      <c r="E80" s="12" t="s">
        <v>98</v>
      </c>
      <c r="F80" s="12"/>
      <c r="G80" s="335"/>
      <c r="H80" s="335"/>
      <c r="I80" s="335"/>
      <c r="J80" s="335"/>
      <c r="K80" s="335"/>
      <c r="L80" s="335"/>
      <c r="M80" s="336"/>
      <c r="N80" s="335"/>
      <c r="O80" s="335"/>
      <c r="P80" s="334">
        <f>'AcelorMittal sus report data'!U41/2</f>
        <v>481.5</v>
      </c>
    </row>
    <row r="81" spans="2:16" x14ac:dyDescent="0.25">
      <c r="B81" s="4" t="s">
        <v>223</v>
      </c>
      <c r="C81" s="12" t="s">
        <v>180</v>
      </c>
      <c r="D81" s="12" t="s">
        <v>171</v>
      </c>
      <c r="E81" s="12" t="s">
        <v>98</v>
      </c>
      <c r="F81" s="12"/>
      <c r="G81" s="338"/>
      <c r="H81" s="338"/>
      <c r="I81" s="338"/>
      <c r="J81" s="338"/>
      <c r="K81" s="338"/>
      <c r="L81" s="338"/>
      <c r="M81" s="339"/>
      <c r="N81" s="338"/>
      <c r="O81" s="338"/>
      <c r="P81" s="337">
        <f>P80</f>
        <v>481.5</v>
      </c>
    </row>
    <row r="82" spans="2:16" x14ac:dyDescent="0.25">
      <c r="B82" s="4" t="s">
        <v>182</v>
      </c>
      <c r="C82" s="12" t="s">
        <v>183</v>
      </c>
      <c r="D82" s="12" t="s">
        <v>17</v>
      </c>
      <c r="E82" s="12" t="s">
        <v>24</v>
      </c>
      <c r="F82" s="12"/>
      <c r="G82" s="21">
        <f>G43</f>
        <v>983556</v>
      </c>
      <c r="H82" s="21">
        <f t="shared" ref="H82:P82" si="22">H43</f>
        <v>1009564</v>
      </c>
      <c r="I82" s="21">
        <f t="shared" si="22"/>
        <v>930840</v>
      </c>
      <c r="J82" s="21">
        <f t="shared" si="22"/>
        <v>429916</v>
      </c>
      <c r="K82" s="21">
        <f t="shared" si="22"/>
        <v>985958</v>
      </c>
      <c r="L82" s="21">
        <f t="shared" si="22"/>
        <v>659602</v>
      </c>
      <c r="M82" s="270">
        <f t="shared" si="22"/>
        <v>620035</v>
      </c>
      <c r="N82" s="21">
        <f t="shared" si="22"/>
        <v>638912</v>
      </c>
      <c r="O82" s="21">
        <f t="shared" si="22"/>
        <v>665688</v>
      </c>
      <c r="P82" s="306">
        <f t="shared" si="22"/>
        <v>283235</v>
      </c>
    </row>
    <row r="83" spans="2:16" x14ac:dyDescent="0.25">
      <c r="B83" s="4" t="s">
        <v>184</v>
      </c>
      <c r="C83" s="12"/>
      <c r="D83" s="12" t="s">
        <v>178</v>
      </c>
      <c r="E83" s="12" t="s">
        <v>1</v>
      </c>
      <c r="F83" s="12"/>
      <c r="G83" s="12"/>
      <c r="H83" s="12"/>
      <c r="I83" s="12"/>
      <c r="J83" s="12"/>
      <c r="K83" s="12"/>
      <c r="L83" s="12"/>
      <c r="M83" s="264"/>
      <c r="N83" s="12"/>
      <c r="O83" s="12"/>
      <c r="P83" s="5"/>
    </row>
    <row r="84" spans="2:16" x14ac:dyDescent="0.25">
      <c r="B84" s="4"/>
      <c r="C84" s="12"/>
      <c r="D84" s="12"/>
      <c r="E84" s="12"/>
      <c r="F84" s="12"/>
      <c r="G84" s="21"/>
      <c r="H84" s="21"/>
      <c r="I84" s="21"/>
      <c r="J84" s="21"/>
      <c r="K84" s="21"/>
      <c r="L84" s="21"/>
      <c r="M84" s="270"/>
      <c r="N84" s="21"/>
      <c r="O84" s="21"/>
      <c r="P84" s="306"/>
    </row>
    <row r="85" spans="2:16" x14ac:dyDescent="0.25">
      <c r="B85" s="7"/>
      <c r="C85" s="8"/>
      <c r="D85" s="8"/>
      <c r="E85" s="8" t="s">
        <v>3</v>
      </c>
      <c r="F85" s="8"/>
      <c r="G85" s="135">
        <f>SUM(G76:G83)</f>
        <v>5173676</v>
      </c>
      <c r="H85" s="135">
        <f t="shared" ref="H85:O85" si="23">SUM(H76:H83)</f>
        <v>4521461</v>
      </c>
      <c r="I85" s="135">
        <f t="shared" si="23"/>
        <v>4504275</v>
      </c>
      <c r="J85" s="135">
        <f t="shared" si="23"/>
        <v>3953709</v>
      </c>
      <c r="K85" s="135">
        <f t="shared" si="23"/>
        <v>4366727</v>
      </c>
      <c r="L85" s="135">
        <f t="shared" si="23"/>
        <v>3991686</v>
      </c>
      <c r="M85" s="135">
        <f t="shared" si="23"/>
        <v>3904276</v>
      </c>
      <c r="N85" s="135">
        <f t="shared" si="23"/>
        <v>3256257.3673469387</v>
      </c>
      <c r="O85" s="135">
        <f t="shared" si="23"/>
        <v>2884727.5510204085</v>
      </c>
      <c r="P85" s="139">
        <f>SUM(P76:P83)</f>
        <v>2678246.8979591839</v>
      </c>
    </row>
    <row r="87" spans="2:16" x14ac:dyDescent="0.25">
      <c r="B87" t="s">
        <v>37</v>
      </c>
    </row>
    <row r="88" spans="2:16" x14ac:dyDescent="0.25">
      <c r="B88" s="15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263"/>
      <c r="N88" s="16"/>
      <c r="O88" s="16"/>
      <c r="P88" s="3"/>
    </row>
    <row r="89" spans="2:16" x14ac:dyDescent="0.25">
      <c r="B89" s="4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264" t="s">
        <v>34</v>
      </c>
      <c r="N89" s="12"/>
      <c r="O89" s="12"/>
      <c r="P89" s="5"/>
    </row>
    <row r="90" spans="2:16" x14ac:dyDescent="0.25">
      <c r="B90" s="4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269">
        <v>2012</v>
      </c>
      <c r="N90" s="19">
        <v>2013</v>
      </c>
      <c r="O90" s="19">
        <v>2014</v>
      </c>
      <c r="P90" s="146">
        <v>2015</v>
      </c>
    </row>
    <row r="91" spans="2:16" x14ac:dyDescent="0.25">
      <c r="B91" s="4"/>
      <c r="C91" s="12"/>
      <c r="D91" s="12" t="s">
        <v>24</v>
      </c>
      <c r="E91" s="12"/>
      <c r="F91" s="12"/>
      <c r="G91" s="12"/>
      <c r="H91" s="12"/>
      <c r="I91" s="12"/>
      <c r="J91" s="12"/>
      <c r="K91" s="12"/>
      <c r="L91" s="12"/>
      <c r="M91" s="265">
        <v>3904276</v>
      </c>
      <c r="N91" s="1">
        <v>4271948</v>
      </c>
      <c r="O91" s="1">
        <v>3622909</v>
      </c>
      <c r="P91" s="279">
        <v>3907513</v>
      </c>
    </row>
    <row r="92" spans="2:16" x14ac:dyDescent="0.25">
      <c r="B92" s="4"/>
      <c r="C92" s="12"/>
      <c r="D92" s="12" t="s">
        <v>1</v>
      </c>
      <c r="E92" s="12"/>
      <c r="F92" s="12"/>
      <c r="G92" s="12"/>
      <c r="H92" s="12"/>
      <c r="I92" s="12"/>
      <c r="J92" s="12"/>
      <c r="K92" s="12"/>
      <c r="L92" s="12"/>
      <c r="M92" s="265">
        <v>3904276</v>
      </c>
      <c r="N92" s="1">
        <v>3292870</v>
      </c>
      <c r="O92" s="1">
        <v>2789291</v>
      </c>
      <c r="P92" s="279">
        <v>2490587</v>
      </c>
    </row>
    <row r="93" spans="2:16" x14ac:dyDescent="0.25">
      <c r="B93" s="4"/>
      <c r="C93" s="12"/>
      <c r="D93" s="12" t="s">
        <v>35</v>
      </c>
      <c r="E93" s="12"/>
      <c r="F93" s="12"/>
      <c r="G93" s="12"/>
      <c r="H93" s="12"/>
      <c r="I93" s="12"/>
      <c r="J93" s="12"/>
      <c r="K93" s="12"/>
      <c r="L93" s="12"/>
      <c r="M93" s="265">
        <v>4599015</v>
      </c>
      <c r="N93" s="1">
        <v>4927550</v>
      </c>
      <c r="O93" s="1">
        <v>4401734</v>
      </c>
      <c r="P93" s="279">
        <v>4463759</v>
      </c>
    </row>
    <row r="94" spans="2:16" x14ac:dyDescent="0.25">
      <c r="B94" s="4"/>
      <c r="C94" s="12"/>
      <c r="D94" s="12" t="s">
        <v>20</v>
      </c>
      <c r="E94" s="12"/>
      <c r="F94" s="12"/>
      <c r="G94" s="12"/>
      <c r="H94" s="12"/>
      <c r="I94" s="12"/>
      <c r="J94" s="12"/>
      <c r="K94" s="12"/>
      <c r="L94" s="12"/>
      <c r="M94" s="265">
        <v>1493420</v>
      </c>
      <c r="N94" s="1">
        <v>1295000</v>
      </c>
      <c r="O94" s="1">
        <v>1611530</v>
      </c>
      <c r="P94" s="279">
        <v>1124971</v>
      </c>
    </row>
    <row r="95" spans="2:16" x14ac:dyDescent="0.25">
      <c r="B95" s="4"/>
      <c r="C95" s="12"/>
      <c r="D95" s="12" t="s">
        <v>36</v>
      </c>
      <c r="E95" s="12"/>
      <c r="F95" s="12"/>
      <c r="G95" s="12"/>
      <c r="H95" s="12"/>
      <c r="I95" s="12"/>
      <c r="J95" s="12"/>
      <c r="K95" s="12"/>
      <c r="L95" s="12"/>
      <c r="M95" s="265">
        <v>677891</v>
      </c>
      <c r="N95" s="1">
        <v>590356</v>
      </c>
      <c r="O95" s="1">
        <v>585728</v>
      </c>
      <c r="P95" s="279">
        <v>581399</v>
      </c>
    </row>
    <row r="96" spans="2:16" x14ac:dyDescent="0.25">
      <c r="B96" s="4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265"/>
      <c r="N96" s="1"/>
      <c r="O96" s="1"/>
      <c r="P96" s="279"/>
    </row>
    <row r="97" spans="2:16" x14ac:dyDescent="0.25">
      <c r="B97" s="4"/>
      <c r="C97" s="12"/>
      <c r="D97" s="20" t="s">
        <v>31</v>
      </c>
      <c r="E97" s="12"/>
      <c r="F97" s="12"/>
      <c r="G97" s="12"/>
      <c r="H97" s="12"/>
      <c r="I97" s="12"/>
      <c r="J97" s="12"/>
      <c r="K97" s="12"/>
      <c r="L97" s="12"/>
      <c r="M97" s="265">
        <f>M94+M93</f>
        <v>6092435</v>
      </c>
      <c r="N97" s="1">
        <f>N94+N93</f>
        <v>6222550</v>
      </c>
      <c r="O97" s="1">
        <f>O94+O93</f>
        <v>6013264</v>
      </c>
      <c r="P97" s="279">
        <f>P94+P93</f>
        <v>5588730</v>
      </c>
    </row>
    <row r="98" spans="2:16" x14ac:dyDescent="0.25">
      <c r="B98" s="4"/>
      <c r="C98" s="12"/>
      <c r="D98" s="20" t="s">
        <v>32</v>
      </c>
      <c r="E98" s="12"/>
      <c r="F98" s="12"/>
      <c r="G98" s="12"/>
      <c r="H98" s="12"/>
      <c r="I98" s="12"/>
      <c r="J98" s="12"/>
      <c r="K98" s="12"/>
      <c r="L98" s="12"/>
      <c r="M98" s="270">
        <f>M92+M91+M95</f>
        <v>8486443</v>
      </c>
      <c r="N98" s="21">
        <f>N92+N91+N95</f>
        <v>8155174</v>
      </c>
      <c r="O98" s="21">
        <f>O92+O91+O95</f>
        <v>6997928</v>
      </c>
      <c r="P98" s="306">
        <f>P92+P91+P95</f>
        <v>6979499</v>
      </c>
    </row>
    <row r="99" spans="2:16" x14ac:dyDescent="0.25">
      <c r="B99" s="7"/>
      <c r="C99" s="8"/>
      <c r="D99" s="8"/>
      <c r="E99" s="8"/>
      <c r="F99" s="8"/>
      <c r="G99" s="8"/>
      <c r="H99" s="8"/>
      <c r="I99" s="8"/>
      <c r="J99" s="8"/>
      <c r="K99" s="8"/>
      <c r="L99" s="8"/>
      <c r="M99" s="268"/>
      <c r="N99" s="8"/>
      <c r="O99" s="8"/>
      <c r="P99" s="9"/>
    </row>
    <row r="103" spans="2:16" x14ac:dyDescent="0.25">
      <c r="B103" s="106" t="s">
        <v>161</v>
      </c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263"/>
      <c r="N103" s="16"/>
      <c r="O103" s="16"/>
      <c r="P103" s="3"/>
    </row>
    <row r="104" spans="2:16" x14ac:dyDescent="0.25">
      <c r="B104" s="109" t="s">
        <v>350</v>
      </c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264"/>
      <c r="N104" s="12"/>
      <c r="O104" s="12"/>
      <c r="P104" s="5"/>
    </row>
    <row r="105" spans="2:16" x14ac:dyDescent="0.25">
      <c r="B105" s="4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264" t="s">
        <v>190</v>
      </c>
      <c r="N105" s="12"/>
      <c r="O105" s="12"/>
      <c r="P105" s="5"/>
    </row>
    <row r="106" spans="2:16" x14ac:dyDescent="0.25">
      <c r="B106" s="121" t="s">
        <v>162</v>
      </c>
      <c r="C106" s="119" t="s">
        <v>163</v>
      </c>
      <c r="D106" s="119" t="s">
        <v>164</v>
      </c>
      <c r="E106" s="119" t="s">
        <v>165</v>
      </c>
      <c r="F106" s="12"/>
      <c r="G106" s="12"/>
      <c r="H106" s="12"/>
      <c r="I106" s="12"/>
      <c r="J106" s="12"/>
      <c r="K106" s="12"/>
      <c r="L106" s="12"/>
      <c r="M106" s="258">
        <v>2012</v>
      </c>
      <c r="N106" s="12"/>
      <c r="O106" s="12"/>
      <c r="P106" s="5"/>
    </row>
    <row r="107" spans="2:16" x14ac:dyDescent="0.25">
      <c r="B107" s="122" t="s">
        <v>167</v>
      </c>
      <c r="C107" s="120"/>
      <c r="D107" s="120"/>
      <c r="E107" s="120"/>
      <c r="F107" s="12"/>
      <c r="G107" s="12"/>
      <c r="H107" s="12"/>
      <c r="I107" s="12"/>
      <c r="J107" s="12"/>
      <c r="K107" s="12"/>
      <c r="L107" s="12"/>
      <c r="M107" s="260"/>
      <c r="N107" s="12"/>
      <c r="O107" s="12"/>
      <c r="P107" s="5"/>
    </row>
    <row r="108" spans="2:16" x14ac:dyDescent="0.25">
      <c r="B108" s="123" t="s">
        <v>168</v>
      </c>
      <c r="C108" s="114" t="s">
        <v>169</v>
      </c>
      <c r="D108" s="114" t="s">
        <v>16</v>
      </c>
      <c r="E108" s="114" t="s">
        <v>24</v>
      </c>
      <c r="F108" s="12" t="s">
        <v>7</v>
      </c>
      <c r="G108" s="12"/>
      <c r="H108" s="12"/>
      <c r="I108" s="12"/>
      <c r="J108" s="12"/>
      <c r="K108" s="12"/>
      <c r="L108" s="12"/>
      <c r="M108" s="259">
        <v>2.1</v>
      </c>
      <c r="N108" s="12"/>
      <c r="O108" s="12"/>
      <c r="P108" s="5"/>
    </row>
    <row r="109" spans="2:16" x14ac:dyDescent="0.25">
      <c r="B109" s="123" t="s">
        <v>168</v>
      </c>
      <c r="C109" s="114" t="s">
        <v>169</v>
      </c>
      <c r="D109" s="114" t="s">
        <v>171</v>
      </c>
      <c r="E109" s="114" t="s">
        <v>1</v>
      </c>
      <c r="F109" s="12" t="s">
        <v>9</v>
      </c>
      <c r="G109" s="12"/>
      <c r="H109" s="12"/>
      <c r="I109" s="12"/>
      <c r="J109" s="12"/>
      <c r="K109" s="12"/>
      <c r="L109" s="12"/>
      <c r="M109" s="259">
        <v>0.95</v>
      </c>
      <c r="N109" s="12"/>
      <c r="O109" s="12"/>
      <c r="P109" s="5"/>
    </row>
    <row r="110" spans="2:16" x14ac:dyDescent="0.25">
      <c r="B110" s="123" t="s">
        <v>168</v>
      </c>
      <c r="C110" s="114" t="s">
        <v>174</v>
      </c>
      <c r="D110" s="114" t="s">
        <v>16</v>
      </c>
      <c r="E110" s="114" t="s">
        <v>24</v>
      </c>
      <c r="F110" s="12" t="s">
        <v>7</v>
      </c>
      <c r="G110" s="12"/>
      <c r="H110" s="12"/>
      <c r="I110" s="12"/>
      <c r="J110" s="12"/>
      <c r="K110" s="12"/>
      <c r="L110" s="12"/>
      <c r="M110" s="259">
        <v>1.2</v>
      </c>
      <c r="N110" s="12"/>
      <c r="O110" s="12"/>
      <c r="P110" s="5"/>
    </row>
    <row r="111" spans="2:16" x14ac:dyDescent="0.25">
      <c r="B111" s="123" t="s">
        <v>168</v>
      </c>
      <c r="C111" s="114" t="s">
        <v>177</v>
      </c>
      <c r="D111" s="114" t="s">
        <v>178</v>
      </c>
      <c r="E111" s="114" t="s">
        <v>1</v>
      </c>
      <c r="F111" s="12" t="s">
        <v>8</v>
      </c>
      <c r="G111" s="12"/>
      <c r="H111" s="12"/>
      <c r="I111" s="12"/>
      <c r="J111" s="12"/>
      <c r="K111" s="12"/>
      <c r="L111" s="12"/>
      <c r="M111" s="259">
        <v>0.26</v>
      </c>
      <c r="N111" s="12"/>
      <c r="O111" s="12"/>
      <c r="P111" s="5"/>
    </row>
    <row r="112" spans="2:16" x14ac:dyDescent="0.25">
      <c r="B112" s="123" t="s">
        <v>168</v>
      </c>
      <c r="C112" s="114" t="s">
        <v>180</v>
      </c>
      <c r="D112" s="114" t="s">
        <v>96</v>
      </c>
      <c r="E112" s="114" t="s">
        <v>98</v>
      </c>
      <c r="F112" s="130" t="s">
        <v>173</v>
      </c>
      <c r="G112" s="12"/>
      <c r="H112" s="12"/>
      <c r="I112" s="12"/>
      <c r="J112" s="12"/>
      <c r="K112" s="12"/>
      <c r="L112" s="12"/>
      <c r="M112" s="259">
        <v>0.67</v>
      </c>
      <c r="N112" s="12"/>
      <c r="O112" s="12"/>
      <c r="P112" s="5"/>
    </row>
    <row r="113" spans="2:26" x14ac:dyDescent="0.25">
      <c r="B113" s="123" t="s">
        <v>168</v>
      </c>
      <c r="C113" s="114" t="s">
        <v>180</v>
      </c>
      <c r="D113" s="114" t="s">
        <v>171</v>
      </c>
      <c r="E113" s="115" t="s">
        <v>98</v>
      </c>
      <c r="F113" s="130" t="s">
        <v>173</v>
      </c>
      <c r="G113" s="12"/>
      <c r="H113" s="12"/>
      <c r="I113" s="12"/>
      <c r="J113" s="12"/>
      <c r="K113" s="12"/>
      <c r="L113" s="12"/>
      <c r="M113" s="259">
        <v>0.54</v>
      </c>
      <c r="N113" s="12"/>
      <c r="O113" s="12"/>
      <c r="P113" s="5"/>
    </row>
    <row r="114" spans="2:26" x14ac:dyDescent="0.25">
      <c r="B114" s="123" t="s">
        <v>182</v>
      </c>
      <c r="C114" s="114" t="s">
        <v>183</v>
      </c>
      <c r="D114" s="114" t="s">
        <v>17</v>
      </c>
      <c r="E114" s="114" t="s">
        <v>24</v>
      </c>
      <c r="F114" s="12" t="s">
        <v>10</v>
      </c>
      <c r="G114" s="12"/>
      <c r="H114" s="12"/>
      <c r="I114" s="12"/>
      <c r="J114" s="12"/>
      <c r="K114" s="12"/>
      <c r="L114" s="12"/>
      <c r="M114" s="259">
        <v>0.62</v>
      </c>
      <c r="N114" s="12"/>
      <c r="O114" s="12"/>
      <c r="P114" s="5"/>
    </row>
    <row r="115" spans="2:26" x14ac:dyDescent="0.25">
      <c r="B115" s="123" t="s">
        <v>184</v>
      </c>
      <c r="C115" s="114"/>
      <c r="D115" s="114" t="s">
        <v>178</v>
      </c>
      <c r="E115" s="114" t="s">
        <v>1</v>
      </c>
      <c r="F115" s="12" t="s">
        <v>8</v>
      </c>
      <c r="G115" s="12"/>
      <c r="H115" s="12"/>
      <c r="I115" s="12"/>
      <c r="J115" s="12"/>
      <c r="K115" s="12"/>
      <c r="L115" s="12"/>
      <c r="M115" s="259">
        <v>0.6</v>
      </c>
      <c r="N115" s="12"/>
      <c r="O115" s="12"/>
      <c r="P115" s="5"/>
    </row>
    <row r="116" spans="2:26" x14ac:dyDescent="0.25">
      <c r="B116" s="4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260">
        <f>SUM(M108:M115)</f>
        <v>6.9399999999999995</v>
      </c>
      <c r="N116" s="12"/>
      <c r="O116" s="12"/>
      <c r="P116" s="5"/>
    </row>
    <row r="117" spans="2:26" x14ac:dyDescent="0.25">
      <c r="B117" s="7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268"/>
      <c r="N117" s="8"/>
      <c r="O117" s="8"/>
      <c r="P117" s="9"/>
    </row>
    <row r="119" spans="2:26" x14ac:dyDescent="0.25">
      <c r="B119" t="s">
        <v>295</v>
      </c>
    </row>
    <row r="120" spans="2:26" x14ac:dyDescent="0.25">
      <c r="B120" s="15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263"/>
      <c r="N120" s="16"/>
      <c r="O120" s="16"/>
      <c r="P120" s="16"/>
      <c r="Q120" s="16"/>
      <c r="R120" s="16"/>
      <c r="S120" s="3"/>
    </row>
    <row r="121" spans="2:26" x14ac:dyDescent="0.25">
      <c r="B121" s="4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264"/>
      <c r="N121" s="12"/>
      <c r="O121" s="12"/>
      <c r="P121" s="12"/>
      <c r="Q121" s="12"/>
      <c r="R121" s="12"/>
      <c r="S121" s="5"/>
    </row>
    <row r="122" spans="2:26" x14ac:dyDescent="0.25">
      <c r="B122" s="4" t="s">
        <v>296</v>
      </c>
      <c r="C122" s="8" t="s">
        <v>297</v>
      </c>
      <c r="D122" s="8"/>
      <c r="E122" s="8"/>
      <c r="F122" s="8"/>
      <c r="G122" s="8"/>
      <c r="H122" s="8"/>
      <c r="I122" s="8"/>
      <c r="J122" s="8"/>
      <c r="K122" s="8"/>
      <c r="L122" s="8"/>
      <c r="M122" s="268"/>
      <c r="N122" s="8"/>
      <c r="O122" s="8"/>
      <c r="P122" s="8"/>
      <c r="Q122" s="282">
        <v>0.82</v>
      </c>
      <c r="R122" s="282">
        <v>0.81</v>
      </c>
      <c r="S122" s="284">
        <v>0.85</v>
      </c>
      <c r="Y122" s="287"/>
      <c r="Z122" s="287"/>
    </row>
    <row r="123" spans="2:26" x14ac:dyDescent="0.25">
      <c r="B123" s="4"/>
      <c r="C123" s="8" t="s">
        <v>5</v>
      </c>
      <c r="D123" s="8" t="s">
        <v>298</v>
      </c>
      <c r="E123" s="8"/>
      <c r="F123" s="8"/>
      <c r="G123" s="8"/>
      <c r="H123" s="8"/>
      <c r="I123" s="8"/>
      <c r="J123" s="8"/>
      <c r="K123" s="8"/>
      <c r="L123" s="8"/>
      <c r="M123" s="268"/>
      <c r="N123" s="8"/>
      <c r="O123" s="8"/>
      <c r="P123" s="8"/>
      <c r="Q123" s="8">
        <v>2.3889999999999998</v>
      </c>
      <c r="R123" s="8">
        <v>2.34</v>
      </c>
      <c r="S123" s="9">
        <v>2.4750000000000001</v>
      </c>
    </row>
    <row r="124" spans="2:26" x14ac:dyDescent="0.25">
      <c r="B124" s="4"/>
      <c r="C124" s="283" t="s">
        <v>299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264"/>
      <c r="N124" s="12"/>
      <c r="O124" s="12"/>
      <c r="P124" s="12"/>
      <c r="Q124" s="285">
        <f>Q123/Q122</f>
        <v>2.9134146341463412</v>
      </c>
      <c r="R124" s="285">
        <f>R123/R122</f>
        <v>2.8888888888888884</v>
      </c>
      <c r="S124" s="286">
        <f>S123/S122</f>
        <v>2.9117647058823533</v>
      </c>
    </row>
    <row r="125" spans="2:26" x14ac:dyDescent="0.25">
      <c r="B125" s="4" t="s">
        <v>139</v>
      </c>
      <c r="C125" s="8" t="s">
        <v>297</v>
      </c>
      <c r="D125" s="8"/>
      <c r="E125" s="8"/>
      <c r="F125" s="8"/>
      <c r="G125" s="8"/>
      <c r="H125" s="8"/>
      <c r="I125" s="8"/>
      <c r="J125" s="8"/>
      <c r="K125" s="8"/>
      <c r="L125" s="8"/>
      <c r="M125" s="268"/>
      <c r="N125" s="8"/>
      <c r="O125" s="8"/>
      <c r="P125" s="8"/>
      <c r="Q125" s="282">
        <v>0.65</v>
      </c>
      <c r="R125" s="282">
        <v>0.86</v>
      </c>
      <c r="S125" s="284">
        <v>0.84</v>
      </c>
    </row>
    <row r="126" spans="2:26" x14ac:dyDescent="0.25">
      <c r="B126" s="4"/>
      <c r="C126" s="8" t="s">
        <v>5</v>
      </c>
      <c r="D126" s="8" t="s">
        <v>298</v>
      </c>
      <c r="E126" s="8"/>
      <c r="F126" s="8"/>
      <c r="G126" s="8"/>
      <c r="H126" s="8"/>
      <c r="I126" s="8"/>
      <c r="J126" s="8"/>
      <c r="K126" s="8"/>
      <c r="L126" s="8"/>
      <c r="M126" s="268"/>
      <c r="N126" s="8"/>
      <c r="O126" s="8"/>
      <c r="P126" s="8"/>
      <c r="Q126" s="8">
        <v>0.83199999999999996</v>
      </c>
      <c r="R126" s="8">
        <v>1.1180000000000001</v>
      </c>
      <c r="S126" s="9">
        <v>1.0860000000000001</v>
      </c>
    </row>
    <row r="127" spans="2:26" x14ac:dyDescent="0.25">
      <c r="B127" s="4"/>
      <c r="C127" s="283" t="s">
        <v>299</v>
      </c>
      <c r="D127" s="12"/>
      <c r="E127" s="12"/>
      <c r="F127" s="12"/>
      <c r="G127" s="12"/>
      <c r="H127" s="12"/>
      <c r="I127" s="12"/>
      <c r="J127" s="12"/>
      <c r="K127" s="12"/>
      <c r="L127" s="12"/>
      <c r="M127" s="264"/>
      <c r="N127" s="12"/>
      <c r="O127" s="12"/>
      <c r="P127" s="12"/>
      <c r="Q127" s="17">
        <f>Q126/Q125</f>
        <v>1.2799999999999998</v>
      </c>
      <c r="R127" s="285">
        <f>R126/R125</f>
        <v>1.3</v>
      </c>
      <c r="S127" s="286">
        <f>S126/S125</f>
        <v>1.2928571428571429</v>
      </c>
    </row>
    <row r="128" spans="2:26" x14ac:dyDescent="0.25">
      <c r="B128" s="4" t="s">
        <v>245</v>
      </c>
      <c r="C128" s="8" t="s">
        <v>297</v>
      </c>
      <c r="D128" s="8"/>
      <c r="E128" s="8"/>
      <c r="F128" s="8"/>
      <c r="G128" s="8"/>
      <c r="H128" s="8"/>
      <c r="I128" s="8"/>
      <c r="J128" s="8"/>
      <c r="K128" s="8"/>
      <c r="L128" s="8"/>
      <c r="M128" s="268"/>
      <c r="N128" s="8"/>
      <c r="O128" s="8"/>
      <c r="P128" s="8"/>
      <c r="Q128" s="282">
        <v>0.81</v>
      </c>
      <c r="R128" s="282">
        <v>0.76</v>
      </c>
      <c r="S128" s="284">
        <v>0.81</v>
      </c>
    </row>
    <row r="129" spans="2:22" x14ac:dyDescent="0.25">
      <c r="B129" s="4"/>
      <c r="C129" s="8" t="s">
        <v>5</v>
      </c>
      <c r="D129" s="8" t="s">
        <v>298</v>
      </c>
      <c r="E129" s="8"/>
      <c r="F129" s="8"/>
      <c r="G129" s="8"/>
      <c r="H129" s="8"/>
      <c r="I129" s="8"/>
      <c r="J129" s="8"/>
      <c r="K129" s="8"/>
      <c r="L129" s="8"/>
      <c r="M129" s="268"/>
      <c r="N129" s="8"/>
      <c r="O129" s="8"/>
      <c r="P129" s="8"/>
      <c r="Q129" s="8">
        <v>1.55</v>
      </c>
      <c r="R129" s="8">
        <v>1.452</v>
      </c>
      <c r="S129" s="9">
        <v>1.5309999999999999</v>
      </c>
    </row>
    <row r="130" spans="2:22" x14ac:dyDescent="0.25">
      <c r="B130" s="4"/>
      <c r="C130" s="283" t="s">
        <v>299</v>
      </c>
      <c r="D130" s="12"/>
      <c r="E130" s="12"/>
      <c r="F130" s="12"/>
      <c r="G130" s="12"/>
      <c r="H130" s="12"/>
      <c r="I130" s="12"/>
      <c r="J130" s="12"/>
      <c r="K130" s="12"/>
      <c r="L130" s="12"/>
      <c r="M130" s="264"/>
      <c r="N130" s="12"/>
      <c r="O130" s="12"/>
      <c r="P130" s="12"/>
      <c r="Q130" s="285">
        <f>Q129/Q128</f>
        <v>1.9135802469135801</v>
      </c>
      <c r="R130" s="285">
        <f>R129/R128</f>
        <v>1.9105263157894736</v>
      </c>
      <c r="S130" s="286">
        <f>S129/S128</f>
        <v>1.8901234567901233</v>
      </c>
    </row>
    <row r="131" spans="2:22" x14ac:dyDescent="0.25">
      <c r="B131" s="4"/>
      <c r="C131" s="283"/>
      <c r="D131" s="12"/>
      <c r="E131" s="12"/>
      <c r="F131" s="12"/>
      <c r="G131" s="12"/>
      <c r="H131" s="12"/>
      <c r="I131" s="12"/>
      <c r="J131" s="12"/>
      <c r="K131" s="12"/>
      <c r="L131" s="12"/>
      <c r="M131" s="264"/>
      <c r="N131" s="12"/>
      <c r="O131" s="12"/>
      <c r="P131" s="12"/>
      <c r="Q131" s="285"/>
      <c r="R131" s="285"/>
      <c r="S131" s="286"/>
    </row>
    <row r="132" spans="2:22" x14ac:dyDescent="0.25">
      <c r="B132" s="4"/>
      <c r="C132" s="20" t="s">
        <v>304</v>
      </c>
      <c r="D132" s="12"/>
      <c r="E132" s="12"/>
      <c r="F132" s="12"/>
      <c r="G132" s="12"/>
      <c r="H132" s="12"/>
      <c r="I132" s="12"/>
      <c r="J132" s="12"/>
      <c r="K132" s="12"/>
      <c r="L132" s="12"/>
      <c r="M132" s="264"/>
      <c r="N132" s="12"/>
      <c r="O132" s="12"/>
      <c r="P132" s="12"/>
      <c r="Q132" s="12">
        <f>Q129+Q126+Q123</f>
        <v>4.7709999999999999</v>
      </c>
      <c r="R132" s="12">
        <f>R129+R126+R123</f>
        <v>4.91</v>
      </c>
      <c r="S132" s="5">
        <f>S129+S126+S123</f>
        <v>5.0920000000000005</v>
      </c>
    </row>
    <row r="133" spans="2:22" x14ac:dyDescent="0.25">
      <c r="B133" s="4"/>
      <c r="C133" s="20" t="s">
        <v>300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264"/>
      <c r="N133" s="12"/>
      <c r="O133" s="12"/>
      <c r="P133" s="12"/>
      <c r="Q133" s="288">
        <f>Q124+Q127+Q130</f>
        <v>6.1069948810599213</v>
      </c>
      <c r="R133" s="288">
        <f>R124+R127+R130</f>
        <v>6.0994152046783618</v>
      </c>
      <c r="S133" s="289">
        <f>S124+S127+S130</f>
        <v>6.094745305529619</v>
      </c>
    </row>
    <row r="134" spans="2:22" x14ac:dyDescent="0.25">
      <c r="B134" s="7"/>
      <c r="C134" s="290" t="s">
        <v>301</v>
      </c>
      <c r="D134" s="8"/>
      <c r="E134" s="8"/>
      <c r="F134" s="8"/>
      <c r="G134" s="8"/>
      <c r="H134" s="8"/>
      <c r="I134" s="8"/>
      <c r="J134" s="8"/>
      <c r="K134" s="8"/>
      <c r="L134" s="8"/>
      <c r="M134" s="268"/>
      <c r="N134" s="8"/>
      <c r="O134" s="8"/>
      <c r="P134" s="8"/>
      <c r="Q134" s="291">
        <f>Q122*(Q124/Q133)+Q125*(Q127/Q133)+Q128*(Q130/Q133)</f>
        <v>0.7812353036018842</v>
      </c>
      <c r="R134" s="291">
        <f>R122*(R124/R133)+R125*(R127/R133)+R128*(R130/R133)</f>
        <v>0.80499520613614584</v>
      </c>
      <c r="S134" s="292">
        <f>S122*(S124/S133)+S125*(S127/S133)+S128*(S130/S133)</f>
        <v>0.83547379664580057</v>
      </c>
    </row>
    <row r="135" spans="2:22" x14ac:dyDescent="0.25">
      <c r="B135" s="12"/>
      <c r="C135" s="20"/>
      <c r="D135" s="12"/>
      <c r="E135" s="12"/>
      <c r="F135" s="12"/>
      <c r="G135" s="12"/>
      <c r="H135" s="12"/>
      <c r="I135" s="12"/>
      <c r="J135" s="12"/>
      <c r="K135" s="12"/>
      <c r="L135" s="12"/>
      <c r="M135" s="264"/>
      <c r="N135" s="12"/>
      <c r="O135" s="12"/>
      <c r="P135" s="12"/>
      <c r="Q135" s="293"/>
      <c r="R135" s="293"/>
      <c r="S135" s="293"/>
    </row>
    <row r="136" spans="2:22" x14ac:dyDescent="0.25">
      <c r="B136" s="12"/>
      <c r="C136" s="20"/>
      <c r="D136" s="12"/>
      <c r="E136" s="12"/>
      <c r="F136" s="12"/>
      <c r="G136" s="12" t="s">
        <v>303</v>
      </c>
      <c r="H136" s="12"/>
      <c r="I136" s="12"/>
      <c r="J136" s="12"/>
      <c r="K136" s="12"/>
      <c r="L136" s="12"/>
      <c r="M136" s="264"/>
      <c r="N136" s="12"/>
      <c r="O136" s="12"/>
      <c r="P136" s="12"/>
      <c r="Q136" s="293"/>
      <c r="R136" s="293"/>
      <c r="S136" s="293"/>
    </row>
    <row r="137" spans="2:22" x14ac:dyDescent="0.25">
      <c r="B137" s="302" t="s">
        <v>162</v>
      </c>
      <c r="C137" s="303" t="s">
        <v>163</v>
      </c>
      <c r="D137" s="303" t="s">
        <v>164</v>
      </c>
      <c r="E137" s="303" t="s">
        <v>165</v>
      </c>
      <c r="F137" s="16"/>
      <c r="G137" s="16"/>
      <c r="H137" s="16"/>
      <c r="I137" s="16"/>
      <c r="J137" s="16"/>
      <c r="K137" s="16"/>
      <c r="L137" s="16"/>
      <c r="M137" s="263"/>
      <c r="N137" s="16"/>
      <c r="O137" s="16"/>
      <c r="P137" s="16"/>
      <c r="Q137" s="304"/>
      <c r="R137" s="304"/>
      <c r="S137" s="304"/>
      <c r="T137" s="16"/>
      <c r="U137" s="3"/>
    </row>
    <row r="138" spans="2:22" ht="30" x14ac:dyDescent="0.25">
      <c r="B138" s="122" t="s">
        <v>167</v>
      </c>
      <c r="C138" s="120"/>
      <c r="D138" s="120"/>
      <c r="E138" s="120"/>
      <c r="F138" s="12"/>
      <c r="G138" s="12"/>
      <c r="H138" s="12"/>
      <c r="I138" s="12"/>
      <c r="J138" s="12"/>
      <c r="K138" s="12"/>
      <c r="L138" s="12"/>
      <c r="M138" s="264"/>
      <c r="N138" s="12"/>
      <c r="O138" s="12"/>
      <c r="P138" s="331" t="s">
        <v>322</v>
      </c>
      <c r="Q138" s="293"/>
      <c r="R138" s="293"/>
      <c r="S138" s="293"/>
      <c r="T138" s="12"/>
      <c r="U138" s="5"/>
    </row>
    <row r="139" spans="2:22" x14ac:dyDescent="0.25">
      <c r="B139" s="123" t="s">
        <v>168</v>
      </c>
      <c r="C139" s="114" t="s">
        <v>169</v>
      </c>
      <c r="D139" s="114" t="s">
        <v>16</v>
      </c>
      <c r="E139" s="114" t="s">
        <v>24</v>
      </c>
      <c r="F139" s="12" t="s">
        <v>7</v>
      </c>
      <c r="G139" s="12"/>
      <c r="H139" s="12"/>
      <c r="I139" s="12"/>
      <c r="J139" s="12"/>
      <c r="K139" s="12"/>
      <c r="L139" s="12"/>
      <c r="M139" s="264"/>
      <c r="N139" s="12"/>
      <c r="O139" s="12"/>
      <c r="P139" s="310">
        <f>Q139</f>
        <v>1.6141891891891889</v>
      </c>
      <c r="Q139" s="294">
        <f>Q123-Q140</f>
        <v>1.6141891891891889</v>
      </c>
      <c r="R139" s="294">
        <f>R123-R140</f>
        <v>1.5810810810810809</v>
      </c>
      <c r="S139" s="294">
        <f>S123-S140</f>
        <v>1.6722972972972974</v>
      </c>
      <c r="T139" s="12"/>
      <c r="U139" s="5"/>
    </row>
    <row r="140" spans="2:22" x14ac:dyDescent="0.25">
      <c r="B140" s="123" t="s">
        <v>168</v>
      </c>
      <c r="C140" s="114" t="s">
        <v>169</v>
      </c>
      <c r="D140" s="114" t="s">
        <v>171</v>
      </c>
      <c r="E140" s="114" t="s">
        <v>1</v>
      </c>
      <c r="F140" s="12" t="s">
        <v>9</v>
      </c>
      <c r="G140" s="12"/>
      <c r="H140" s="12"/>
      <c r="I140" s="12"/>
      <c r="J140" s="12"/>
      <c r="K140" s="12"/>
      <c r="L140" s="12"/>
      <c r="M140" s="264"/>
      <c r="N140" s="12"/>
      <c r="O140" s="12"/>
      <c r="P140" s="310">
        <f>Q140</f>
        <v>0.77481081081081082</v>
      </c>
      <c r="Q140" s="294">
        <f>Q123*Q11/SUM(Q10:Q11)</f>
        <v>0.77481081081081082</v>
      </c>
      <c r="R140" s="294">
        <f>R123*R11/SUM(R10:R11)</f>
        <v>0.75891891891891894</v>
      </c>
      <c r="S140" s="294">
        <f>S123*S11/SUM(S10:S11)</f>
        <v>0.80270270270270283</v>
      </c>
      <c r="T140" s="12"/>
      <c r="U140" s="5"/>
    </row>
    <row r="141" spans="2:22" x14ac:dyDescent="0.25">
      <c r="B141" s="123" t="s">
        <v>168</v>
      </c>
      <c r="C141" s="114" t="s">
        <v>174</v>
      </c>
      <c r="D141" s="114" t="s">
        <v>16</v>
      </c>
      <c r="E141" s="114" t="s">
        <v>24</v>
      </c>
      <c r="F141" s="12" t="s">
        <v>7</v>
      </c>
      <c r="G141" s="12"/>
      <c r="H141" s="12"/>
      <c r="I141" s="12"/>
      <c r="J141" s="12"/>
      <c r="K141" s="12"/>
      <c r="L141" s="12"/>
      <c r="M141" s="264"/>
      <c r="N141" s="12"/>
      <c r="O141" s="12"/>
      <c r="P141" s="310">
        <f>Q141</f>
        <v>1.55</v>
      </c>
      <c r="Q141" s="294">
        <f>Q129</f>
        <v>1.55</v>
      </c>
      <c r="R141" s="294">
        <f>R129</f>
        <v>1.452</v>
      </c>
      <c r="S141" s="294">
        <f>S129</f>
        <v>1.5309999999999999</v>
      </c>
      <c r="T141" s="12"/>
      <c r="U141" s="5"/>
    </row>
    <row r="142" spans="2:22" ht="15.75" customHeight="1" x14ac:dyDescent="0.25">
      <c r="B142" s="123" t="s">
        <v>168</v>
      </c>
      <c r="C142" s="114" t="s">
        <v>177</v>
      </c>
      <c r="D142" s="114" t="s">
        <v>178</v>
      </c>
      <c r="E142" s="114" t="s">
        <v>1</v>
      </c>
      <c r="F142" s="12" t="s">
        <v>8</v>
      </c>
      <c r="G142" s="12"/>
      <c r="H142" s="12"/>
      <c r="I142" s="12"/>
      <c r="J142" s="12"/>
      <c r="K142" s="12"/>
      <c r="L142" s="12"/>
      <c r="M142" s="264"/>
      <c r="N142" s="12"/>
      <c r="O142" s="12"/>
      <c r="P142" s="330">
        <f>P79/1000</f>
        <v>0.16400000000000001</v>
      </c>
      <c r="Q142" s="294">
        <v>0</v>
      </c>
      <c r="R142" s="294">
        <v>0</v>
      </c>
      <c r="S142" s="294">
        <v>0</v>
      </c>
      <c r="T142" s="12"/>
      <c r="U142" s="5"/>
      <c r="V142" t="s">
        <v>306</v>
      </c>
    </row>
    <row r="143" spans="2:22" x14ac:dyDescent="0.25">
      <c r="B143" s="123" t="s">
        <v>168</v>
      </c>
      <c r="C143" s="114" t="s">
        <v>180</v>
      </c>
      <c r="D143" s="114" t="s">
        <v>96</v>
      </c>
      <c r="E143" s="114" t="s">
        <v>98</v>
      </c>
      <c r="F143" s="130" t="s">
        <v>173</v>
      </c>
      <c r="G143" s="12"/>
      <c r="H143" s="12"/>
      <c r="I143" s="12"/>
      <c r="J143" s="12"/>
      <c r="K143" s="12"/>
      <c r="L143" s="12"/>
      <c r="M143" s="264"/>
      <c r="N143" s="12"/>
      <c r="O143" s="12"/>
      <c r="P143" s="330">
        <f>P80/1000</f>
        <v>0.48149999999999998</v>
      </c>
      <c r="Q143" s="294">
        <f>Q126/2</f>
        <v>0.41599999999999998</v>
      </c>
      <c r="R143" s="294">
        <f>R126/2</f>
        <v>0.55900000000000005</v>
      </c>
      <c r="S143" s="294">
        <f>S126/2</f>
        <v>0.54300000000000004</v>
      </c>
      <c r="T143" s="12"/>
      <c r="U143" s="5"/>
    </row>
    <row r="144" spans="2:22" x14ac:dyDescent="0.25">
      <c r="B144" s="123" t="s">
        <v>168</v>
      </c>
      <c r="C144" s="114" t="s">
        <v>180</v>
      </c>
      <c r="D144" s="114" t="s">
        <v>171</v>
      </c>
      <c r="E144" s="115" t="s">
        <v>98</v>
      </c>
      <c r="F144" s="130" t="s">
        <v>173</v>
      </c>
      <c r="G144" s="12"/>
      <c r="H144" s="12"/>
      <c r="I144" s="12"/>
      <c r="J144" s="12"/>
      <c r="K144" s="12"/>
      <c r="L144" s="12"/>
      <c r="M144" s="264"/>
      <c r="N144" s="12"/>
      <c r="O144" s="12"/>
      <c r="P144" s="330">
        <f>P81/1000</f>
        <v>0.48149999999999998</v>
      </c>
      <c r="Q144" s="294">
        <f>Q143</f>
        <v>0.41599999999999998</v>
      </c>
      <c r="R144" s="294">
        <f>R143</f>
        <v>0.55900000000000005</v>
      </c>
      <c r="S144" s="294">
        <f>S143</f>
        <v>0.54300000000000004</v>
      </c>
      <c r="T144" s="12"/>
      <c r="U144" s="5"/>
    </row>
    <row r="145" spans="2:22" x14ac:dyDescent="0.25">
      <c r="B145" s="123" t="s">
        <v>182</v>
      </c>
      <c r="C145" s="114" t="s">
        <v>183</v>
      </c>
      <c r="D145" s="114" t="s">
        <v>17</v>
      </c>
      <c r="E145" s="114" t="s">
        <v>24</v>
      </c>
      <c r="F145" s="12" t="s">
        <v>10</v>
      </c>
      <c r="G145" s="12"/>
      <c r="H145" s="12"/>
      <c r="I145" s="12"/>
      <c r="J145" s="12"/>
      <c r="K145" s="12"/>
      <c r="L145" s="12"/>
      <c r="M145" s="264"/>
      <c r="N145" s="12"/>
      <c r="O145" s="12"/>
      <c r="P145" s="310">
        <f>P153-Q152-P142</f>
        <v>0.1360000000000007</v>
      </c>
      <c r="Q145" s="294">
        <v>0</v>
      </c>
      <c r="R145" s="294">
        <v>0</v>
      </c>
      <c r="S145" s="294">
        <v>0</v>
      </c>
      <c r="T145" s="12"/>
      <c r="U145" s="5"/>
      <c r="V145" t="s">
        <v>617</v>
      </c>
    </row>
    <row r="146" spans="2:22" x14ac:dyDescent="0.25">
      <c r="B146" s="123" t="s">
        <v>184</v>
      </c>
      <c r="C146" s="114"/>
      <c r="D146" s="114" t="s">
        <v>178</v>
      </c>
      <c r="E146" s="114" t="s">
        <v>1</v>
      </c>
      <c r="F146" s="12" t="s">
        <v>8</v>
      </c>
      <c r="G146" s="12"/>
      <c r="H146" s="12"/>
      <c r="I146" s="12"/>
      <c r="J146" s="12"/>
      <c r="K146" s="12"/>
      <c r="L146" s="12"/>
      <c r="M146" s="264"/>
      <c r="N146" s="12"/>
      <c r="O146" s="12"/>
      <c r="P146" s="305">
        <f>MIN(P153-SUM(P139:P145),P17)</f>
        <v>1.1980000000000004</v>
      </c>
      <c r="Q146" s="305">
        <f>MIN(Q17,Q152-SUM(Q139:Q145))</f>
        <v>1.3200000000000003</v>
      </c>
      <c r="R146" s="305">
        <f>MIN(R17,R152-SUM(R139:R145))</f>
        <v>1.3200000000000003</v>
      </c>
      <c r="S146" s="305">
        <f>MIN(S17,S152-SUM(S139:S145))</f>
        <v>1.2079999999999993</v>
      </c>
      <c r="T146" s="12"/>
      <c r="U146" s="5"/>
      <c r="V146" s="136" t="s">
        <v>313</v>
      </c>
    </row>
    <row r="147" spans="2:22" x14ac:dyDescent="0.25">
      <c r="B147" s="300"/>
      <c r="C147" s="124"/>
      <c r="D147" s="124"/>
      <c r="E147" s="124"/>
      <c r="F147" s="8"/>
      <c r="G147" s="8"/>
      <c r="H147" s="8"/>
      <c r="I147" s="8"/>
      <c r="J147" s="8"/>
      <c r="K147" s="8"/>
      <c r="L147" s="8"/>
      <c r="M147" s="268"/>
      <c r="N147" s="8"/>
      <c r="O147" s="8"/>
      <c r="P147" s="8"/>
      <c r="Q147" s="301"/>
      <c r="R147" s="301"/>
      <c r="S147" s="301"/>
      <c r="T147" s="8"/>
      <c r="U147" s="9"/>
    </row>
    <row r="148" spans="2:22" x14ac:dyDescent="0.25">
      <c r="B148" s="114"/>
      <c r="C148" s="114"/>
      <c r="D148" s="114"/>
      <c r="E148" s="114"/>
      <c r="F148" s="12"/>
      <c r="G148" s="12"/>
      <c r="H148" s="12"/>
      <c r="I148" s="12"/>
      <c r="J148" s="12"/>
      <c r="K148" s="12"/>
      <c r="L148" s="12"/>
      <c r="M148" s="264"/>
      <c r="N148" s="12"/>
      <c r="O148" s="12"/>
      <c r="P148" s="12"/>
      <c r="Q148" s="294"/>
      <c r="R148" s="294"/>
      <c r="S148" s="294"/>
      <c r="T148" s="12"/>
      <c r="U148" s="12"/>
    </row>
    <row r="149" spans="2:22" x14ac:dyDescent="0.25">
      <c r="B149" s="114"/>
      <c r="C149" s="114"/>
      <c r="D149" s="114"/>
      <c r="E149" s="114"/>
      <c r="F149" s="12"/>
      <c r="G149" s="12"/>
      <c r="H149" s="12"/>
      <c r="I149" s="12"/>
      <c r="J149" s="12"/>
      <c r="K149" s="12"/>
      <c r="L149" s="12"/>
      <c r="M149" s="264"/>
      <c r="N149" s="12"/>
      <c r="O149" s="12"/>
      <c r="P149" s="12"/>
      <c r="Q149" s="294"/>
      <c r="R149" s="294"/>
      <c r="S149" s="294"/>
      <c r="T149" s="12"/>
      <c r="U149" s="12"/>
    </row>
    <row r="150" spans="2:22" x14ac:dyDescent="0.25">
      <c r="B150" s="466" t="s">
        <v>356</v>
      </c>
      <c r="C150" s="114"/>
      <c r="D150" s="114"/>
      <c r="E150" s="114"/>
      <c r="F150" s="12"/>
      <c r="G150" s="12"/>
      <c r="H150" s="12"/>
      <c r="I150" s="12"/>
      <c r="J150" s="12"/>
      <c r="K150" s="12"/>
      <c r="L150" s="12"/>
      <c r="M150" s="264"/>
      <c r="N150" s="12"/>
      <c r="O150" s="12"/>
      <c r="P150" s="12"/>
      <c r="Q150" s="294"/>
      <c r="R150" s="294"/>
      <c r="S150" s="294"/>
    </row>
    <row r="151" spans="2:22" x14ac:dyDescent="0.25">
      <c r="B151" s="297" t="s">
        <v>305</v>
      </c>
      <c r="C151" s="298"/>
      <c r="D151" s="298"/>
      <c r="E151" s="298"/>
      <c r="F151" s="16"/>
      <c r="G151" s="16"/>
      <c r="H151" s="16"/>
      <c r="I151" s="16"/>
      <c r="J151" s="16"/>
      <c r="K151" s="16"/>
      <c r="L151" s="16"/>
      <c r="M151" s="263"/>
      <c r="N151" s="16"/>
      <c r="O151" s="16"/>
      <c r="P151" s="16"/>
      <c r="Q151" s="299"/>
      <c r="R151" s="299"/>
      <c r="S151" s="299"/>
      <c r="T151" s="16"/>
      <c r="U151" s="3"/>
    </row>
    <row r="152" spans="2:22" x14ac:dyDescent="0.25">
      <c r="B152" s="123"/>
      <c r="C152" s="464" t="s">
        <v>5</v>
      </c>
      <c r="D152" s="464" t="s">
        <v>355</v>
      </c>
      <c r="E152" s="464"/>
      <c r="F152" s="451"/>
      <c r="G152" s="451"/>
      <c r="H152" s="451"/>
      <c r="I152" s="451"/>
      <c r="J152" s="451"/>
      <c r="K152" s="451"/>
      <c r="L152" s="451"/>
      <c r="M152" s="452"/>
      <c r="N152" s="451"/>
      <c r="O152" s="451"/>
      <c r="P152" s="451"/>
      <c r="Q152" s="463">
        <v>6.1</v>
      </c>
      <c r="R152" s="463">
        <v>6.3</v>
      </c>
      <c r="S152" s="463">
        <v>6.3</v>
      </c>
      <c r="T152" s="12"/>
      <c r="U152" s="5"/>
    </row>
    <row r="153" spans="2:22" x14ac:dyDescent="0.25">
      <c r="B153" s="123"/>
      <c r="C153" s="450" t="s">
        <v>5</v>
      </c>
      <c r="D153" s="450" t="s">
        <v>321</v>
      </c>
      <c r="E153" s="450"/>
      <c r="F153" s="451"/>
      <c r="G153" s="451"/>
      <c r="H153" s="451"/>
      <c r="I153" s="451"/>
      <c r="J153" s="451"/>
      <c r="K153" s="451"/>
      <c r="L153" s="451"/>
      <c r="M153" s="452"/>
      <c r="N153" s="451"/>
      <c r="O153" s="451"/>
      <c r="P153" s="451">
        <v>6.4</v>
      </c>
      <c r="Q153" s="453"/>
      <c r="R153" s="453"/>
      <c r="S153" s="453"/>
      <c r="T153" s="12"/>
      <c r="U153" s="5"/>
    </row>
    <row r="154" spans="2:22" x14ac:dyDescent="0.25">
      <c r="B154" s="123"/>
      <c r="C154" s="450"/>
      <c r="D154" s="450" t="s">
        <v>354</v>
      </c>
      <c r="E154" s="450"/>
      <c r="F154" s="451"/>
      <c r="G154" s="451"/>
      <c r="H154" s="451"/>
      <c r="I154" s="451"/>
      <c r="J154" s="451"/>
      <c r="K154" s="451"/>
      <c r="L154" s="451"/>
      <c r="M154" s="452">
        <v>6.9</v>
      </c>
      <c r="N154" s="451">
        <v>7.1</v>
      </c>
      <c r="O154" s="451">
        <v>6.5</v>
      </c>
      <c r="P154" s="451"/>
      <c r="Q154" s="453"/>
      <c r="R154" s="453"/>
      <c r="S154" s="453"/>
      <c r="T154" s="12"/>
      <c r="U154" s="5"/>
    </row>
    <row r="155" spans="2:22" x14ac:dyDescent="0.25">
      <c r="B155" s="123"/>
      <c r="C155" s="457" t="s">
        <v>614</v>
      </c>
      <c r="D155" s="114"/>
      <c r="E155" s="114"/>
      <c r="F155" s="12"/>
      <c r="G155" s="12"/>
      <c r="H155" s="12"/>
      <c r="I155" s="12"/>
      <c r="J155" s="12"/>
      <c r="K155" s="12"/>
      <c r="L155" s="12"/>
      <c r="M155" s="269">
        <f t="shared" ref="M155:S155" si="24">SUM(M152:M154)</f>
        <v>6.9</v>
      </c>
      <c r="N155" s="19">
        <f t="shared" si="24"/>
        <v>7.1</v>
      </c>
      <c r="O155" s="19">
        <f t="shared" si="24"/>
        <v>6.5</v>
      </c>
      <c r="P155" s="19">
        <f t="shared" si="24"/>
        <v>6.4</v>
      </c>
      <c r="Q155" s="456">
        <f t="shared" si="24"/>
        <v>6.1</v>
      </c>
      <c r="R155" s="456">
        <f t="shared" si="24"/>
        <v>6.3</v>
      </c>
      <c r="S155" s="456">
        <f t="shared" si="24"/>
        <v>6.3</v>
      </c>
      <c r="T155" s="12"/>
      <c r="U155" s="5"/>
    </row>
    <row r="156" spans="2:22" x14ac:dyDescent="0.25">
      <c r="B156" s="12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264"/>
      <c r="N156" s="12"/>
      <c r="O156" s="12"/>
      <c r="P156" s="12"/>
      <c r="Q156" s="12"/>
      <c r="R156" s="12"/>
      <c r="S156" s="12"/>
      <c r="T156" s="12"/>
      <c r="U156" s="5"/>
    </row>
    <row r="157" spans="2:22" x14ac:dyDescent="0.25">
      <c r="B157" s="123"/>
      <c r="C157" s="450" t="s">
        <v>605</v>
      </c>
      <c r="D157" s="450" t="s">
        <v>606</v>
      </c>
      <c r="E157" s="450" t="s">
        <v>611</v>
      </c>
      <c r="F157" s="451"/>
      <c r="G157" s="451"/>
      <c r="H157" s="451"/>
      <c r="I157" s="451"/>
      <c r="J157" s="451"/>
      <c r="K157" s="451"/>
      <c r="L157" s="451"/>
      <c r="M157" s="452"/>
      <c r="N157" s="451"/>
      <c r="O157" s="451"/>
      <c r="P157" s="451"/>
      <c r="Q157" s="467">
        <v>0.622</v>
      </c>
      <c r="R157" s="454">
        <v>0.59</v>
      </c>
      <c r="S157" s="462">
        <v>0.61599999999999999</v>
      </c>
      <c r="T157" s="12"/>
      <c r="U157" s="5"/>
    </row>
    <row r="158" spans="2:22" x14ac:dyDescent="0.25">
      <c r="B158" s="123"/>
      <c r="C158" s="450" t="s">
        <v>375</v>
      </c>
      <c r="D158" s="450" t="s">
        <v>607</v>
      </c>
      <c r="E158" s="450" t="s">
        <v>611</v>
      </c>
      <c r="F158" s="451"/>
      <c r="G158" s="451"/>
      <c r="H158" s="451"/>
      <c r="I158" s="451"/>
      <c r="J158" s="451"/>
      <c r="K158" s="451"/>
      <c r="L158" s="451"/>
      <c r="M158" s="452"/>
      <c r="N158" s="451"/>
      <c r="O158" s="451"/>
      <c r="P158" s="451"/>
      <c r="Q158" s="453">
        <v>4.3</v>
      </c>
      <c r="R158" s="455">
        <v>4.4000000000000004</v>
      </c>
      <c r="S158" s="463">
        <v>4.5999999999999996</v>
      </c>
      <c r="T158" s="12"/>
      <c r="U158" s="5"/>
    </row>
    <row r="159" spans="2:22" x14ac:dyDescent="0.25">
      <c r="B159" s="123"/>
      <c r="C159" s="450" t="s">
        <v>20</v>
      </c>
      <c r="D159" s="450" t="s">
        <v>607</v>
      </c>
      <c r="E159" s="450" t="s">
        <v>611</v>
      </c>
      <c r="F159" s="451"/>
      <c r="G159" s="451"/>
      <c r="H159" s="451"/>
      <c r="I159" s="451"/>
      <c r="J159" s="451"/>
      <c r="K159" s="451"/>
      <c r="L159" s="451"/>
      <c r="M159" s="452"/>
      <c r="N159" s="451"/>
      <c r="O159" s="451"/>
      <c r="P159" s="451">
        <v>1.1000000000000001</v>
      </c>
      <c r="Q159" s="453">
        <v>0.7</v>
      </c>
      <c r="R159" s="453">
        <v>0.9</v>
      </c>
      <c r="S159" s="465">
        <v>0.8</v>
      </c>
      <c r="T159" s="12"/>
      <c r="U159" s="5"/>
    </row>
    <row r="160" spans="2:22" x14ac:dyDescent="0.25">
      <c r="B160" s="123"/>
      <c r="C160" s="457" t="s">
        <v>608</v>
      </c>
      <c r="D160" s="457" t="s">
        <v>607</v>
      </c>
      <c r="E160" s="457" t="s">
        <v>609</v>
      </c>
      <c r="F160" s="19"/>
      <c r="G160" s="19"/>
      <c r="H160" s="19"/>
      <c r="I160" s="19"/>
      <c r="J160" s="19"/>
      <c r="K160" s="19"/>
      <c r="L160" s="19"/>
      <c r="M160" s="269"/>
      <c r="N160" s="19"/>
      <c r="O160" s="19"/>
      <c r="P160" s="19"/>
      <c r="Q160" s="19">
        <f>SUM(Q158:Q159)</f>
        <v>5</v>
      </c>
      <c r="R160" s="19">
        <f>SUM(R158:R159)</f>
        <v>5.3000000000000007</v>
      </c>
      <c r="S160" s="19">
        <f>SUM(S158:S159)</f>
        <v>5.3999999999999995</v>
      </c>
      <c r="T160" s="12"/>
      <c r="U160" s="5"/>
    </row>
    <row r="161" spans="2:21" x14ac:dyDescent="0.25">
      <c r="B161" s="123"/>
      <c r="C161" s="457" t="s">
        <v>613</v>
      </c>
      <c r="D161" s="457"/>
      <c r="E161" s="457"/>
      <c r="F161" s="19"/>
      <c r="G161" s="19"/>
      <c r="H161" s="19"/>
      <c r="I161" s="19"/>
      <c r="J161" s="19"/>
      <c r="K161" s="19"/>
      <c r="L161" s="19"/>
      <c r="M161" s="269"/>
      <c r="N161" s="19"/>
      <c r="O161" s="19"/>
      <c r="P161" s="19"/>
      <c r="Q161" s="19"/>
      <c r="R161" s="19"/>
      <c r="S161" s="19"/>
      <c r="T161" s="12"/>
      <c r="U161" s="5"/>
    </row>
    <row r="162" spans="2:21" x14ac:dyDescent="0.25">
      <c r="B162" s="123"/>
      <c r="C162" s="114" t="s">
        <v>24</v>
      </c>
      <c r="D162" s="114" t="s">
        <v>607</v>
      </c>
      <c r="E162" s="114" t="s">
        <v>609</v>
      </c>
      <c r="F162" s="12"/>
      <c r="G162" s="12"/>
      <c r="H162" s="12"/>
      <c r="I162" s="12"/>
      <c r="J162" s="12"/>
      <c r="K162" s="12"/>
      <c r="L162" s="12"/>
      <c r="M162" s="264"/>
      <c r="N162" s="12"/>
      <c r="O162" s="12"/>
      <c r="P162" s="12"/>
      <c r="Q162" s="294">
        <f>Q157*Q155</f>
        <v>3.7941999999999996</v>
      </c>
      <c r="R162" s="294">
        <f>R157*R155</f>
        <v>3.7169999999999996</v>
      </c>
      <c r="S162" s="294">
        <f>S157*S155</f>
        <v>3.8807999999999998</v>
      </c>
      <c r="T162" s="12"/>
      <c r="U162" s="5"/>
    </row>
    <row r="163" spans="2:21" x14ac:dyDescent="0.25">
      <c r="B163" s="300"/>
      <c r="C163" s="124" t="s">
        <v>1</v>
      </c>
      <c r="D163" s="124" t="s">
        <v>607</v>
      </c>
      <c r="E163" s="124" t="s">
        <v>609</v>
      </c>
      <c r="F163" s="8"/>
      <c r="G163" s="8"/>
      <c r="H163" s="8"/>
      <c r="I163" s="8"/>
      <c r="J163" s="8"/>
      <c r="K163" s="8"/>
      <c r="L163" s="8"/>
      <c r="M163" s="268"/>
      <c r="N163" s="8"/>
      <c r="O163" s="8"/>
      <c r="P163" s="8"/>
      <c r="Q163" s="301">
        <f>Q155-Q162</f>
        <v>2.3058000000000001</v>
      </c>
      <c r="R163" s="301">
        <f>R155-R162</f>
        <v>2.5830000000000002</v>
      </c>
      <c r="S163" s="301">
        <f>S155-S162</f>
        <v>2.4192</v>
      </c>
      <c r="T163" s="8"/>
      <c r="U163" s="9"/>
    </row>
    <row r="164" spans="2:21" x14ac:dyDescent="0.25">
      <c r="B164" s="114"/>
      <c r="C164" s="114"/>
      <c r="D164" s="114"/>
      <c r="E164" s="114"/>
      <c r="F164" s="12"/>
      <c r="G164" s="12"/>
      <c r="H164" s="12"/>
      <c r="I164" s="12"/>
      <c r="J164" s="12"/>
      <c r="K164" s="12"/>
      <c r="L164" s="12"/>
      <c r="M164" s="264"/>
      <c r="N164" s="12"/>
      <c r="O164" s="12"/>
      <c r="P164" s="12"/>
      <c r="Q164" s="294"/>
      <c r="R164" s="294"/>
      <c r="S164" s="294"/>
      <c r="T164" s="12"/>
      <c r="U164" s="12"/>
    </row>
    <row r="165" spans="2:21" x14ac:dyDescent="0.25">
      <c r="B165" s="114"/>
      <c r="C165" s="468" t="s">
        <v>644</v>
      </c>
      <c r="D165" s="136"/>
      <c r="E165" s="136"/>
      <c r="F165" s="136"/>
      <c r="G165" s="136"/>
      <c r="H165" s="136"/>
      <c r="I165" s="136"/>
      <c r="J165" s="136"/>
      <c r="K165" s="136"/>
      <c r="L165" s="136"/>
      <c r="M165" s="469"/>
      <c r="N165" s="136"/>
      <c r="O165" s="136"/>
      <c r="P165" s="136"/>
      <c r="Q165" s="136">
        <f>Q132</f>
        <v>4.7709999999999999</v>
      </c>
      <c r="R165" s="136">
        <f>R132</f>
        <v>4.91</v>
      </c>
      <c r="S165" s="136">
        <f>S132</f>
        <v>5.0920000000000005</v>
      </c>
      <c r="T165" s="12"/>
      <c r="U165" s="12"/>
    </row>
    <row r="166" spans="2:21" x14ac:dyDescent="0.25">
      <c r="B166" s="114"/>
      <c r="C166" s="468" t="s">
        <v>648</v>
      </c>
      <c r="D166" s="136"/>
      <c r="E166" s="136"/>
      <c r="F166" s="136"/>
      <c r="G166" s="136"/>
      <c r="H166" s="136"/>
      <c r="I166" s="136"/>
      <c r="J166" s="136"/>
      <c r="K166" s="136"/>
      <c r="L166" s="136"/>
      <c r="M166" s="469"/>
      <c r="N166" s="136"/>
      <c r="O166" s="136"/>
      <c r="P166" s="136"/>
      <c r="Q166" s="358">
        <f>Q155-Q165</f>
        <v>1.3289999999999997</v>
      </c>
      <c r="R166" s="358">
        <f>R155-R165</f>
        <v>1.3899999999999997</v>
      </c>
      <c r="S166" s="358">
        <f>S155-S165</f>
        <v>1.2079999999999993</v>
      </c>
      <c r="T166" s="12"/>
      <c r="U166" s="12"/>
    </row>
    <row r="167" spans="2:21" x14ac:dyDescent="0.25">
      <c r="B167" s="114"/>
      <c r="T167" s="12"/>
      <c r="U167" s="12"/>
    </row>
    <row r="168" spans="2:21" x14ac:dyDescent="0.25">
      <c r="B168" s="114"/>
      <c r="U168" s="12"/>
    </row>
    <row r="169" spans="2:21" x14ac:dyDescent="0.25">
      <c r="C169" s="457" t="s">
        <v>629</v>
      </c>
      <c r="E169" s="114"/>
      <c r="F169" s="12"/>
      <c r="G169" s="12"/>
      <c r="H169" s="12"/>
      <c r="I169" s="12"/>
      <c r="J169" s="12"/>
      <c r="K169" s="12"/>
      <c r="L169" s="12"/>
      <c r="M169" s="264"/>
      <c r="N169" s="12"/>
      <c r="O169" s="12"/>
      <c r="P169" s="12"/>
      <c r="Q169" s="456">
        <f>SUM(Q170:Q174,Q177:Q178)</f>
        <v>4.7709999999999999</v>
      </c>
      <c r="R169" s="456">
        <f>SUM(R170:R174,R177:R178)</f>
        <v>4.91</v>
      </c>
      <c r="S169" s="456">
        <f>SUM(S170:S174,S177:S178)</f>
        <v>5.0920000000000005</v>
      </c>
      <c r="T169" s="12"/>
      <c r="U169" s="12"/>
    </row>
    <row r="170" spans="2:21" x14ac:dyDescent="0.25">
      <c r="B170" s="114" t="s">
        <v>168</v>
      </c>
      <c r="C170" s="114" t="s">
        <v>169</v>
      </c>
      <c r="D170" s="114" t="s">
        <v>16</v>
      </c>
      <c r="E170" s="114" t="s">
        <v>24</v>
      </c>
      <c r="F170" s="12"/>
      <c r="G170" s="12" t="s">
        <v>7</v>
      </c>
      <c r="H170" s="12"/>
      <c r="I170" s="12"/>
      <c r="J170" s="12"/>
      <c r="K170" s="12"/>
      <c r="L170" s="12"/>
      <c r="M170" s="264"/>
      <c r="N170" s="12"/>
      <c r="O170" s="12"/>
      <c r="P170" s="12"/>
      <c r="Q170" s="294">
        <f>Q123</f>
        <v>2.3889999999999998</v>
      </c>
      <c r="R170" s="294">
        <f>R123</f>
        <v>2.34</v>
      </c>
      <c r="S170" s="294">
        <f>S123</f>
        <v>2.4750000000000001</v>
      </c>
      <c r="T170" s="12" t="s">
        <v>632</v>
      </c>
      <c r="U170" s="12"/>
    </row>
    <row r="171" spans="2:21" x14ac:dyDescent="0.25">
      <c r="B171" s="114" t="s">
        <v>168</v>
      </c>
      <c r="C171" s="114" t="s">
        <v>169</v>
      </c>
      <c r="D171" s="114" t="s">
        <v>171</v>
      </c>
      <c r="E171" s="114" t="s">
        <v>1</v>
      </c>
      <c r="F171" s="12"/>
      <c r="G171" s="12" t="s">
        <v>9</v>
      </c>
      <c r="H171" s="12"/>
      <c r="I171" s="12"/>
      <c r="J171" s="12"/>
      <c r="K171" s="12"/>
      <c r="L171" s="12"/>
      <c r="M171" s="264"/>
      <c r="N171" s="12"/>
      <c r="O171" s="12"/>
      <c r="P171" s="12"/>
      <c r="Q171" s="294">
        <v>0</v>
      </c>
      <c r="R171" s="294">
        <v>0</v>
      </c>
      <c r="S171" s="294">
        <v>0</v>
      </c>
      <c r="T171" s="12"/>
      <c r="U171" s="12" t="s">
        <v>624</v>
      </c>
    </row>
    <row r="172" spans="2:21" x14ac:dyDescent="0.25">
      <c r="B172" s="114" t="s">
        <v>168</v>
      </c>
      <c r="C172" s="114" t="s">
        <v>174</v>
      </c>
      <c r="D172" s="114" t="s">
        <v>16</v>
      </c>
      <c r="E172" s="114" t="s">
        <v>24</v>
      </c>
      <c r="F172" s="12"/>
      <c r="G172" s="12" t="s">
        <v>7</v>
      </c>
      <c r="H172" s="12"/>
      <c r="I172" s="12"/>
      <c r="J172" s="12"/>
      <c r="K172" s="12"/>
      <c r="L172" s="12"/>
      <c r="M172" s="264"/>
      <c r="N172" s="12"/>
      <c r="O172" s="12"/>
      <c r="P172" s="12"/>
      <c r="Q172" s="294">
        <f>Q129</f>
        <v>1.55</v>
      </c>
      <c r="R172" s="294">
        <f>R129</f>
        <v>1.452</v>
      </c>
      <c r="S172" s="294">
        <f>S129</f>
        <v>1.5309999999999999</v>
      </c>
      <c r="T172" s="12" t="s">
        <v>632</v>
      </c>
      <c r="U172" s="12"/>
    </row>
    <row r="173" spans="2:21" x14ac:dyDescent="0.25">
      <c r="B173" s="114" t="s">
        <v>168</v>
      </c>
      <c r="C173" s="114" t="s">
        <v>177</v>
      </c>
      <c r="D173" s="114" t="s">
        <v>178</v>
      </c>
      <c r="E173" s="114" t="s">
        <v>1</v>
      </c>
      <c r="F173" s="12"/>
      <c r="G173" s="12" t="s">
        <v>8</v>
      </c>
      <c r="H173" s="12"/>
      <c r="I173" s="12"/>
      <c r="J173" s="12"/>
      <c r="K173" s="12"/>
      <c r="L173" s="12"/>
      <c r="M173" s="264"/>
      <c r="N173" s="12"/>
      <c r="O173" s="12"/>
      <c r="P173" s="12"/>
      <c r="Q173" s="294">
        <v>0</v>
      </c>
      <c r="R173" s="294">
        <v>0</v>
      </c>
      <c r="S173" s="294">
        <v>0</v>
      </c>
      <c r="T173" s="12"/>
      <c r="U173" s="12" t="s">
        <v>628</v>
      </c>
    </row>
    <row r="174" spans="2:21" x14ac:dyDescent="0.25">
      <c r="B174" s="114" t="s">
        <v>168</v>
      </c>
      <c r="C174" s="114" t="s">
        <v>180</v>
      </c>
      <c r="D174" s="114" t="s">
        <v>618</v>
      </c>
      <c r="E174" s="114" t="s">
        <v>618</v>
      </c>
      <c r="F174" s="130"/>
      <c r="G174" s="130" t="s">
        <v>618</v>
      </c>
      <c r="H174" s="12"/>
      <c r="I174" s="12"/>
      <c r="J174" s="12"/>
      <c r="K174" s="12"/>
      <c r="L174" s="12"/>
      <c r="M174" s="264"/>
      <c r="N174" s="12"/>
      <c r="O174" s="12"/>
      <c r="P174" s="12"/>
      <c r="Q174" s="294">
        <f>Q126</f>
        <v>0.83199999999999996</v>
      </c>
      <c r="R174" s="294">
        <f>R126</f>
        <v>1.1180000000000001</v>
      </c>
      <c r="S174" s="294">
        <f>S126</f>
        <v>1.0860000000000001</v>
      </c>
      <c r="T174" s="12" t="s">
        <v>632</v>
      </c>
      <c r="U174" s="12"/>
    </row>
    <row r="175" spans="2:21" x14ac:dyDescent="0.25">
      <c r="B175" s="114" t="s">
        <v>168</v>
      </c>
      <c r="C175" s="114" t="s">
        <v>180</v>
      </c>
      <c r="D175" s="114" t="s">
        <v>96</v>
      </c>
      <c r="E175" s="114" t="s">
        <v>98</v>
      </c>
      <c r="F175" s="130"/>
      <c r="G175" s="130" t="s">
        <v>173</v>
      </c>
      <c r="H175" s="12"/>
      <c r="I175" s="12"/>
      <c r="J175" s="12"/>
      <c r="K175" s="12"/>
      <c r="L175" s="12"/>
      <c r="M175" s="264"/>
      <c r="N175" s="12"/>
      <c r="O175" s="12"/>
      <c r="P175" s="12"/>
      <c r="Q175" s="294">
        <f t="shared" ref="Q175:S176" si="25">Q$174*(Q186/Q$185)</f>
        <v>0.45165714285714281</v>
      </c>
      <c r="R175" s="294">
        <f t="shared" si="25"/>
        <v>0.60691428571428574</v>
      </c>
      <c r="S175" s="294">
        <f t="shared" si="25"/>
        <v>0.58954285714285715</v>
      </c>
      <c r="T175" s="12" t="s">
        <v>639</v>
      </c>
      <c r="U175" s="12"/>
    </row>
    <row r="176" spans="2:21" x14ac:dyDescent="0.25">
      <c r="B176" s="114" t="s">
        <v>168</v>
      </c>
      <c r="C176" s="114" t="s">
        <v>180</v>
      </c>
      <c r="D176" s="114" t="s">
        <v>171</v>
      </c>
      <c r="E176" s="115" t="s">
        <v>98</v>
      </c>
      <c r="F176" s="130"/>
      <c r="G176" s="130" t="s">
        <v>173</v>
      </c>
      <c r="H176" s="12"/>
      <c r="I176" s="12"/>
      <c r="J176" s="12"/>
      <c r="K176" s="12"/>
      <c r="L176" s="12"/>
      <c r="M176" s="264"/>
      <c r="N176" s="12"/>
      <c r="O176" s="12"/>
      <c r="P176" s="12"/>
      <c r="Q176" s="294">
        <f t="shared" si="25"/>
        <v>0.38034285714285715</v>
      </c>
      <c r="R176" s="294">
        <f t="shared" si="25"/>
        <v>0.51108571428571437</v>
      </c>
      <c r="S176" s="294">
        <f t="shared" si="25"/>
        <v>0.49645714285714293</v>
      </c>
      <c r="T176" s="12" t="s">
        <v>640</v>
      </c>
      <c r="U176" s="12"/>
    </row>
    <row r="177" spans="2:21" x14ac:dyDescent="0.25">
      <c r="B177" s="114" t="s">
        <v>182</v>
      </c>
      <c r="C177" s="114" t="s">
        <v>183</v>
      </c>
      <c r="D177" s="114" t="s">
        <v>17</v>
      </c>
      <c r="E177" s="114" t="s">
        <v>24</v>
      </c>
      <c r="F177" s="12"/>
      <c r="G177" s="12" t="s">
        <v>10</v>
      </c>
      <c r="H177" s="12"/>
      <c r="I177" s="12"/>
      <c r="J177" s="12"/>
      <c r="K177" s="12"/>
      <c r="L177" s="12"/>
      <c r="M177" s="264"/>
      <c r="N177" s="12"/>
      <c r="O177" s="12"/>
      <c r="P177" s="12"/>
      <c r="Q177" s="294">
        <v>0</v>
      </c>
      <c r="R177" s="294">
        <v>0</v>
      </c>
      <c r="S177" s="294">
        <v>0</v>
      </c>
      <c r="T177" s="12"/>
      <c r="U177" s="12" t="s">
        <v>616</v>
      </c>
    </row>
    <row r="178" spans="2:21" x14ac:dyDescent="0.25">
      <c r="B178" s="114" t="s">
        <v>184</v>
      </c>
      <c r="C178" s="114"/>
      <c r="D178" s="114" t="s">
        <v>178</v>
      </c>
      <c r="E178" s="114" t="s">
        <v>1</v>
      </c>
      <c r="F178" s="12"/>
      <c r="G178" s="12" t="s">
        <v>8</v>
      </c>
      <c r="H178" s="12"/>
      <c r="I178" s="12"/>
      <c r="J178" s="12"/>
      <c r="K178" s="12"/>
      <c r="L178" s="12"/>
      <c r="M178" s="264"/>
      <c r="N178" s="12"/>
      <c r="O178" s="12"/>
      <c r="P178" s="12"/>
      <c r="Q178" s="294"/>
      <c r="R178" s="294"/>
      <c r="S178" s="294"/>
      <c r="T178" s="12"/>
      <c r="U178" s="12"/>
    </row>
    <row r="179" spans="2:21" x14ac:dyDescent="0.25">
      <c r="B179" s="114"/>
      <c r="C179" s="114"/>
      <c r="D179" s="114"/>
      <c r="E179" s="114"/>
      <c r="F179" s="12"/>
      <c r="G179" s="12"/>
      <c r="H179" s="12"/>
      <c r="I179" s="12"/>
      <c r="J179" s="12"/>
      <c r="K179" s="12"/>
      <c r="L179" s="12"/>
      <c r="M179" s="264"/>
      <c r="N179" s="12"/>
      <c r="O179" s="12"/>
      <c r="P179" s="12"/>
      <c r="Q179" s="294"/>
      <c r="R179" s="294"/>
      <c r="S179" s="294"/>
      <c r="T179" s="12"/>
      <c r="U179" s="12"/>
    </row>
    <row r="180" spans="2:21" x14ac:dyDescent="0.25">
      <c r="B180" s="114"/>
      <c r="C180" s="457" t="s">
        <v>633</v>
      </c>
      <c r="D180" s="114"/>
      <c r="E180" s="114"/>
      <c r="F180" s="12"/>
      <c r="G180" s="19"/>
      <c r="H180" s="19"/>
      <c r="I180" s="19"/>
      <c r="J180" s="19"/>
      <c r="K180" s="19"/>
      <c r="L180" s="19"/>
      <c r="M180" s="269"/>
      <c r="N180" s="19"/>
      <c r="O180" s="19"/>
      <c r="P180" s="19"/>
      <c r="Q180" s="456">
        <f>SUM(Q181:Q185)</f>
        <v>4.7709999999999999</v>
      </c>
      <c r="R180" s="456">
        <f>SUM(R181:R185)</f>
        <v>4.91</v>
      </c>
      <c r="S180" s="456">
        <f>SUM(S181:S185)</f>
        <v>5.0920000000000005</v>
      </c>
      <c r="T180" s="12"/>
      <c r="U180" s="12"/>
    </row>
    <row r="181" spans="2:21" x14ac:dyDescent="0.25">
      <c r="B181" s="114" t="s">
        <v>168</v>
      </c>
      <c r="C181" s="114" t="s">
        <v>169</v>
      </c>
      <c r="D181" s="114" t="s">
        <v>16</v>
      </c>
      <c r="E181" s="114" t="s">
        <v>24</v>
      </c>
      <c r="F181" s="12"/>
      <c r="G181" s="114" t="s">
        <v>16</v>
      </c>
      <c r="H181" s="12"/>
      <c r="I181" s="12"/>
      <c r="J181" s="12"/>
      <c r="K181" s="12"/>
      <c r="L181" s="12"/>
      <c r="M181" s="264"/>
      <c r="N181" s="12"/>
      <c r="O181" s="12"/>
      <c r="P181" s="12"/>
      <c r="Q181" s="294">
        <f>Q123-Q182</f>
        <v>2.0693428571428569</v>
      </c>
      <c r="R181" s="294">
        <f>R123-R182</f>
        <v>1.9510857142857141</v>
      </c>
      <c r="S181" s="294">
        <f>S123-S182</f>
        <v>2.1714571428571432</v>
      </c>
      <c r="T181" s="12"/>
      <c r="U181" s="12" t="s">
        <v>627</v>
      </c>
    </row>
    <row r="182" spans="2:21" x14ac:dyDescent="0.25">
      <c r="B182" s="114" t="s">
        <v>168</v>
      </c>
      <c r="C182" s="114" t="s">
        <v>169</v>
      </c>
      <c r="D182" s="114" t="s">
        <v>171</v>
      </c>
      <c r="E182" s="114" t="s">
        <v>1</v>
      </c>
      <c r="F182" s="12"/>
      <c r="G182" s="114" t="s">
        <v>171</v>
      </c>
      <c r="H182" s="12"/>
      <c r="I182" s="12"/>
      <c r="J182" s="12"/>
      <c r="K182" s="12"/>
      <c r="L182" s="12"/>
      <c r="M182" s="264"/>
      <c r="N182" s="12"/>
      <c r="O182" s="12"/>
      <c r="P182" s="12"/>
      <c r="Q182" s="294">
        <f>Q159-Q187</f>
        <v>0.31965714285714281</v>
      </c>
      <c r="R182" s="294">
        <f>R159-R187</f>
        <v>0.38891428571428566</v>
      </c>
      <c r="S182" s="294">
        <f>S159-S187</f>
        <v>0.30354285714285711</v>
      </c>
      <c r="T182" s="12" t="s">
        <v>626</v>
      </c>
      <c r="U182" s="12" t="s">
        <v>625</v>
      </c>
    </row>
    <row r="183" spans="2:21" x14ac:dyDescent="0.25">
      <c r="B183" s="114" t="s">
        <v>168</v>
      </c>
      <c r="C183" s="114" t="s">
        <v>174</v>
      </c>
      <c r="D183" s="114" t="s">
        <v>16</v>
      </c>
      <c r="E183" s="114" t="s">
        <v>24</v>
      </c>
      <c r="F183" s="12"/>
      <c r="G183" s="114" t="s">
        <v>16</v>
      </c>
      <c r="H183" s="12"/>
      <c r="I183" s="12"/>
      <c r="J183" s="12"/>
      <c r="K183" s="12"/>
      <c r="L183" s="12"/>
      <c r="M183" s="264"/>
      <c r="N183" s="12"/>
      <c r="O183" s="12"/>
      <c r="P183" s="12"/>
      <c r="Q183" s="294">
        <f>Q129</f>
        <v>1.55</v>
      </c>
      <c r="R183" s="294">
        <f>R129</f>
        <v>1.452</v>
      </c>
      <c r="S183" s="294">
        <f>S129</f>
        <v>1.5309999999999999</v>
      </c>
      <c r="T183" s="12" t="s">
        <v>632</v>
      </c>
      <c r="U183" s="12" t="s">
        <v>223</v>
      </c>
    </row>
    <row r="184" spans="2:21" x14ac:dyDescent="0.25">
      <c r="B184" s="114" t="s">
        <v>168</v>
      </c>
      <c r="C184" s="114" t="s">
        <v>177</v>
      </c>
      <c r="D184" s="114" t="s">
        <v>178</v>
      </c>
      <c r="E184" s="114" t="s">
        <v>1</v>
      </c>
      <c r="F184" s="12"/>
      <c r="G184" s="114" t="s">
        <v>178</v>
      </c>
      <c r="H184" s="12"/>
      <c r="I184" s="12"/>
      <c r="J184" s="12"/>
      <c r="K184" s="12"/>
      <c r="L184" s="12"/>
      <c r="M184" s="264"/>
      <c r="N184" s="12"/>
      <c r="O184" s="12"/>
      <c r="P184" s="12"/>
      <c r="Q184" s="294"/>
      <c r="R184" s="294"/>
      <c r="S184" s="294"/>
      <c r="T184" s="12"/>
      <c r="U184" s="12"/>
    </row>
    <row r="185" spans="2:21" x14ac:dyDescent="0.25">
      <c r="B185" s="114" t="s">
        <v>168</v>
      </c>
      <c r="C185" s="114" t="s">
        <v>180</v>
      </c>
      <c r="D185" s="114" t="s">
        <v>618</v>
      </c>
      <c r="E185" s="114" t="s">
        <v>618</v>
      </c>
      <c r="F185" s="130"/>
      <c r="G185" s="114" t="s">
        <v>618</v>
      </c>
      <c r="H185" s="12"/>
      <c r="I185" s="12"/>
      <c r="J185" s="12"/>
      <c r="K185" s="12"/>
      <c r="L185" s="12"/>
      <c r="M185" s="264"/>
      <c r="N185" s="12"/>
      <c r="O185" s="12"/>
      <c r="P185" s="12"/>
      <c r="Q185" s="294">
        <f>SUM(Q186:Q187)</f>
        <v>0.83199999999999996</v>
      </c>
      <c r="R185" s="294">
        <f>SUM(R186:R187)</f>
        <v>1.1180000000000001</v>
      </c>
      <c r="S185" s="294">
        <f>SUM(S186:S187)</f>
        <v>1.0860000000000001</v>
      </c>
      <c r="T185" s="12"/>
      <c r="U185" s="12"/>
    </row>
    <row r="186" spans="2:21" x14ac:dyDescent="0.25">
      <c r="B186" s="114" t="s">
        <v>168</v>
      </c>
      <c r="C186" s="114" t="s">
        <v>180</v>
      </c>
      <c r="D186" s="114" t="s">
        <v>96</v>
      </c>
      <c r="E186" s="114" t="s">
        <v>98</v>
      </c>
      <c r="F186" s="130"/>
      <c r="G186" s="114" t="s">
        <v>96</v>
      </c>
      <c r="H186" s="12"/>
      <c r="I186" s="12"/>
      <c r="J186" s="12"/>
      <c r="K186" s="12"/>
      <c r="L186" s="12"/>
      <c r="M186" s="264"/>
      <c r="N186" s="12"/>
      <c r="O186" s="12"/>
      <c r="P186" s="12"/>
      <c r="Q186" s="294">
        <f>'AMSA - Saldanha'!$I54*(Q$174)</f>
        <v>0.45165714285714281</v>
      </c>
      <c r="R186" s="294">
        <f>'AMSA - Saldanha'!$I54*(R$174)</f>
        <v>0.60691428571428574</v>
      </c>
      <c r="S186" s="294">
        <f>'AMSA - Saldanha'!$I54*(S$174)</f>
        <v>0.58954285714285715</v>
      </c>
      <c r="T186" s="12"/>
      <c r="U186" s="12"/>
    </row>
    <row r="187" spans="2:21" x14ac:dyDescent="0.25">
      <c r="B187" s="114" t="s">
        <v>168</v>
      </c>
      <c r="C187" s="114" t="s">
        <v>180</v>
      </c>
      <c r="D187" s="114" t="s">
        <v>171</v>
      </c>
      <c r="E187" s="115" t="s">
        <v>98</v>
      </c>
      <c r="F187" s="130"/>
      <c r="G187" s="114" t="s">
        <v>171</v>
      </c>
      <c r="H187" s="12"/>
      <c r="I187" s="12"/>
      <c r="J187" s="12"/>
      <c r="K187" s="12"/>
      <c r="L187" s="12"/>
      <c r="M187" s="264"/>
      <c r="N187" s="12"/>
      <c r="O187" s="12"/>
      <c r="P187" s="12"/>
      <c r="Q187" s="294">
        <f>'AMSA - Saldanha'!$I55*(Q$174)</f>
        <v>0.38034285714285715</v>
      </c>
      <c r="R187" s="294">
        <f>'AMSA - Saldanha'!$I55*(R$174)</f>
        <v>0.51108571428571437</v>
      </c>
      <c r="S187" s="294">
        <f>'AMSA - Saldanha'!$I55*(S$174)</f>
        <v>0.49645714285714293</v>
      </c>
      <c r="T187" s="12"/>
      <c r="U187" s="12"/>
    </row>
    <row r="188" spans="2:21" x14ac:dyDescent="0.25">
      <c r="B188" s="114" t="s">
        <v>182</v>
      </c>
      <c r="C188" s="114" t="s">
        <v>183</v>
      </c>
      <c r="D188" s="114" t="s">
        <v>17</v>
      </c>
      <c r="E188" s="114" t="s">
        <v>24</v>
      </c>
      <c r="F188" s="12"/>
      <c r="G188" s="114" t="s">
        <v>17</v>
      </c>
      <c r="H188" s="12"/>
      <c r="I188" s="12"/>
      <c r="J188" s="12"/>
      <c r="K188" s="12"/>
      <c r="L188" s="12"/>
      <c r="M188" s="264"/>
      <c r="N188" s="12"/>
      <c r="O188" s="12"/>
      <c r="P188" s="12"/>
      <c r="Q188" s="294"/>
      <c r="R188" s="294"/>
      <c r="S188" s="294"/>
      <c r="T188" s="12"/>
      <c r="U188" s="12"/>
    </row>
    <row r="189" spans="2:21" x14ac:dyDescent="0.25">
      <c r="B189" s="114" t="s">
        <v>184</v>
      </c>
      <c r="C189" s="114"/>
      <c r="D189" s="114" t="s">
        <v>178</v>
      </c>
      <c r="E189" s="114" t="s">
        <v>1</v>
      </c>
      <c r="F189" s="12"/>
      <c r="G189" s="114" t="s">
        <v>178</v>
      </c>
      <c r="H189" s="12"/>
      <c r="I189" s="12"/>
      <c r="J189" s="12"/>
      <c r="K189" s="12"/>
      <c r="L189" s="12"/>
      <c r="M189" s="264"/>
      <c r="N189" s="12"/>
      <c r="O189" s="12"/>
      <c r="P189" s="12"/>
      <c r="Q189" s="294"/>
      <c r="R189" s="294"/>
      <c r="S189" s="294"/>
      <c r="T189" s="12"/>
      <c r="U189" s="12"/>
    </row>
    <row r="190" spans="2:21" x14ac:dyDescent="0.25">
      <c r="B190" s="114"/>
      <c r="C190" s="114"/>
      <c r="D190" s="114"/>
      <c r="E190" s="114"/>
      <c r="F190" s="12"/>
      <c r="G190" s="114"/>
      <c r="H190" s="12"/>
      <c r="I190" s="12"/>
      <c r="J190" s="12"/>
      <c r="K190" s="12"/>
      <c r="L190" s="12"/>
      <c r="M190" s="264"/>
      <c r="N190" s="12"/>
      <c r="O190" s="12"/>
      <c r="P190" s="12"/>
      <c r="Q190" s="294"/>
      <c r="R190" s="294"/>
      <c r="S190" s="294"/>
      <c r="T190" s="12"/>
      <c r="U190" s="12"/>
    </row>
    <row r="191" spans="2:21" x14ac:dyDescent="0.25">
      <c r="B191" s="114"/>
      <c r="C191" s="114" t="s">
        <v>634</v>
      </c>
      <c r="D191" s="114"/>
      <c r="E191" s="114"/>
      <c r="F191" s="12"/>
      <c r="G191" s="114"/>
      <c r="H191" s="12"/>
      <c r="I191" s="12"/>
      <c r="J191" s="12"/>
      <c r="K191" s="12"/>
      <c r="L191" s="12"/>
      <c r="M191" s="264"/>
      <c r="N191" s="12"/>
      <c r="O191" s="12"/>
      <c r="P191" s="12"/>
      <c r="Q191" s="294"/>
      <c r="R191" s="294"/>
      <c r="S191" s="294"/>
      <c r="T191" s="12"/>
      <c r="U191" s="12"/>
    </row>
    <row r="192" spans="2:21" x14ac:dyDescent="0.25">
      <c r="B192" s="114" t="s">
        <v>168</v>
      </c>
      <c r="C192" s="114" t="s">
        <v>169</v>
      </c>
      <c r="D192" s="114" t="s">
        <v>16</v>
      </c>
      <c r="E192" s="114" t="s">
        <v>24</v>
      </c>
      <c r="F192" s="12"/>
      <c r="G192" s="114" t="s">
        <v>16</v>
      </c>
      <c r="H192" s="12"/>
      <c r="I192" s="12"/>
      <c r="J192" s="12"/>
      <c r="K192" s="12"/>
      <c r="L192" s="12"/>
      <c r="M192" s="264"/>
      <c r="N192" s="12"/>
      <c r="O192" s="12"/>
      <c r="P192" s="12"/>
      <c r="Q192" s="294">
        <v>0.23</v>
      </c>
      <c r="R192" s="294">
        <v>0.39</v>
      </c>
      <c r="S192" s="294">
        <v>0.31</v>
      </c>
      <c r="T192" s="12" t="s">
        <v>635</v>
      </c>
      <c r="U192" s="12"/>
    </row>
    <row r="193" spans="2:21" x14ac:dyDescent="0.25">
      <c r="B193" s="114"/>
      <c r="C193" s="114" t="s">
        <v>641</v>
      </c>
      <c r="D193" s="114"/>
      <c r="E193" s="114"/>
      <c r="F193" s="12"/>
      <c r="G193" s="114"/>
      <c r="H193" s="12"/>
      <c r="I193" s="12"/>
      <c r="J193" s="12"/>
      <c r="K193" s="12"/>
      <c r="L193" s="12"/>
      <c r="M193" s="264"/>
      <c r="N193" s="12"/>
      <c r="O193" s="12"/>
      <c r="P193" s="12"/>
      <c r="Q193" s="294"/>
      <c r="R193" s="294"/>
      <c r="S193" s="294"/>
      <c r="T193" s="12"/>
      <c r="U193" s="12"/>
    </row>
    <row r="194" spans="2:21" x14ac:dyDescent="0.25">
      <c r="B194" s="114" t="s">
        <v>184</v>
      </c>
      <c r="C194" s="114"/>
      <c r="D194" s="114" t="s">
        <v>178</v>
      </c>
      <c r="E194" s="114" t="s">
        <v>1</v>
      </c>
      <c r="F194" s="12"/>
      <c r="G194" s="12" t="s">
        <v>8</v>
      </c>
      <c r="H194" s="12"/>
      <c r="I194" s="12"/>
      <c r="J194" s="12"/>
      <c r="K194" s="12"/>
      <c r="L194" s="12"/>
      <c r="M194" s="264"/>
      <c r="N194" s="12"/>
      <c r="O194" s="12"/>
      <c r="P194" s="12"/>
      <c r="Q194" s="294">
        <f>Q164+0.24</f>
        <v>0.24</v>
      </c>
      <c r="R194" s="294">
        <f>R164+0.39</f>
        <v>0.39</v>
      </c>
      <c r="S194" s="294">
        <f>S164+0.31</f>
        <v>0.31</v>
      </c>
      <c r="T194" s="12" t="s">
        <v>635</v>
      </c>
      <c r="U194" s="12"/>
    </row>
    <row r="195" spans="2:21" x14ac:dyDescent="0.25">
      <c r="B195" s="114"/>
      <c r="C195" s="114"/>
      <c r="D195" s="114"/>
      <c r="E195" s="114"/>
      <c r="F195" s="12"/>
      <c r="G195" s="114"/>
      <c r="H195" s="12"/>
      <c r="I195" s="12"/>
      <c r="J195" s="12"/>
      <c r="K195" s="12"/>
      <c r="L195" s="12"/>
      <c r="M195" s="264"/>
      <c r="N195" s="12"/>
      <c r="O195" s="12"/>
      <c r="P195" s="12"/>
      <c r="Q195" s="294"/>
      <c r="R195" s="294"/>
      <c r="S195" s="294"/>
      <c r="T195" s="12"/>
      <c r="U195" s="12"/>
    </row>
    <row r="196" spans="2:21" x14ac:dyDescent="0.25">
      <c r="B196" s="114"/>
      <c r="C196" s="457" t="s">
        <v>636</v>
      </c>
      <c r="D196" s="114"/>
      <c r="E196" s="114"/>
      <c r="F196" s="12"/>
      <c r="G196" s="12"/>
      <c r="H196" s="12"/>
      <c r="I196" s="12"/>
      <c r="J196" s="12"/>
      <c r="K196" s="12"/>
      <c r="L196" s="12"/>
      <c r="M196" s="264"/>
      <c r="N196" s="12"/>
      <c r="O196" s="12"/>
      <c r="P196" s="12"/>
      <c r="Q196" s="294"/>
      <c r="R196" s="294"/>
      <c r="S196" s="294"/>
      <c r="T196" s="12"/>
      <c r="U196" s="12"/>
    </row>
    <row r="197" spans="2:21" x14ac:dyDescent="0.25">
      <c r="B197" s="114"/>
      <c r="C197" s="114" t="s">
        <v>630</v>
      </c>
      <c r="D197" s="114"/>
      <c r="E197" s="114"/>
      <c r="F197" s="12"/>
      <c r="G197" s="12"/>
      <c r="H197" s="12"/>
      <c r="I197" s="12"/>
      <c r="J197" s="12"/>
      <c r="K197" s="12"/>
      <c r="L197" s="12"/>
      <c r="M197" s="264"/>
      <c r="N197" s="12"/>
      <c r="O197" s="12"/>
      <c r="P197" s="12"/>
      <c r="Q197" s="294">
        <f>Q181+Q183+Q186+Q192</f>
        <v>4.3010000000000002</v>
      </c>
      <c r="R197" s="294">
        <f>R181+R183+R186+R192</f>
        <v>4.3999999999999995</v>
      </c>
      <c r="S197" s="294">
        <f>S181+S183+S186+S192</f>
        <v>4.6019999999999994</v>
      </c>
      <c r="T197" s="12"/>
      <c r="U197" s="12"/>
    </row>
    <row r="198" spans="2:21" x14ac:dyDescent="0.25">
      <c r="B198" s="114"/>
      <c r="C198" s="114" t="s">
        <v>631</v>
      </c>
      <c r="D198" s="114"/>
      <c r="E198" s="114"/>
      <c r="F198" s="12"/>
      <c r="G198" s="12"/>
      <c r="H198" s="12"/>
      <c r="I198" s="12"/>
      <c r="J198" s="12"/>
      <c r="K198" s="12"/>
      <c r="L198" s="12"/>
      <c r="M198" s="264"/>
      <c r="N198" s="12"/>
      <c r="O198" s="12"/>
      <c r="P198" s="12"/>
      <c r="Q198" s="294">
        <f>Q182+Q187</f>
        <v>0.7</v>
      </c>
      <c r="R198" s="294">
        <f>R182+R187</f>
        <v>0.9</v>
      </c>
      <c r="S198" s="294">
        <f>S182+S187</f>
        <v>0.8</v>
      </c>
      <c r="T198" s="12"/>
      <c r="U198" s="12"/>
    </row>
    <row r="199" spans="2:21" x14ac:dyDescent="0.25">
      <c r="B199" s="114"/>
      <c r="C199" s="468" t="s">
        <v>647</v>
      </c>
      <c r="D199" s="136"/>
      <c r="E199" s="136"/>
      <c r="F199" s="136"/>
      <c r="G199" s="136"/>
      <c r="H199" s="136"/>
      <c r="I199" s="136"/>
      <c r="J199" s="136"/>
      <c r="K199" s="136"/>
      <c r="L199" s="136"/>
      <c r="M199" s="469"/>
      <c r="N199" s="136"/>
      <c r="O199" s="136"/>
      <c r="P199" s="136"/>
      <c r="Q199" s="359">
        <f>SUM(Q197:Q198)</f>
        <v>5.0010000000000003</v>
      </c>
      <c r="R199" s="359">
        <f>SUM(R197:R198)</f>
        <v>5.3</v>
      </c>
      <c r="S199" s="359">
        <f>SUM(S197:S198)</f>
        <v>5.4019999999999992</v>
      </c>
      <c r="T199" s="12"/>
      <c r="U199" s="12"/>
    </row>
    <row r="200" spans="2:21" x14ac:dyDescent="0.25">
      <c r="B200" s="114"/>
      <c r="C200" s="114" t="s">
        <v>638</v>
      </c>
      <c r="D200" s="114"/>
      <c r="E200" s="114"/>
      <c r="F200" s="12"/>
      <c r="G200" s="12"/>
      <c r="H200" s="12"/>
      <c r="I200" s="12"/>
      <c r="J200" s="12"/>
      <c r="K200" s="12"/>
      <c r="L200" s="12"/>
      <c r="M200" s="264"/>
      <c r="N200" s="12"/>
      <c r="O200" s="12"/>
      <c r="P200" s="12"/>
      <c r="Q200" s="294">
        <f>Q170+Q172+Q175</f>
        <v>4.390657142857143</v>
      </c>
      <c r="R200" s="294">
        <f>R170+R172+R175</f>
        <v>4.3989142857142856</v>
      </c>
      <c r="S200" s="294">
        <f>S170+S172+S175</f>
        <v>4.5955428571428572</v>
      </c>
      <c r="T200" s="12"/>
      <c r="U200" s="12"/>
    </row>
    <row r="201" spans="2:21" x14ac:dyDescent="0.25">
      <c r="B201" s="114"/>
      <c r="C201" s="114" t="s">
        <v>637</v>
      </c>
      <c r="D201" s="114"/>
      <c r="E201" s="114"/>
      <c r="F201" s="12"/>
      <c r="G201" s="12"/>
      <c r="H201" s="12"/>
      <c r="I201" s="12"/>
      <c r="J201" s="12"/>
      <c r="K201" s="12"/>
      <c r="L201" s="12"/>
      <c r="M201" s="264"/>
      <c r="N201" s="12"/>
      <c r="O201" s="12"/>
      <c r="P201" s="12"/>
      <c r="Q201" s="294">
        <f>Q171+Q173+Q176+Q177+Q178+Q194</f>
        <v>0.62034285714285708</v>
      </c>
      <c r="R201" s="294">
        <f>R171+R173+R176+R177+R178+R194</f>
        <v>0.90108571428571438</v>
      </c>
      <c r="S201" s="294">
        <f>S171+S173+S176+S177+S178+S194</f>
        <v>0.80645714285714298</v>
      </c>
      <c r="T201" s="12"/>
      <c r="U201" s="12"/>
    </row>
    <row r="202" spans="2:21" x14ac:dyDescent="0.25">
      <c r="B202" s="114"/>
      <c r="C202" s="457" t="s">
        <v>645</v>
      </c>
      <c r="D202" s="457"/>
      <c r="E202" s="457"/>
      <c r="F202" s="19"/>
      <c r="G202" s="19"/>
      <c r="H202" s="19"/>
      <c r="I202" s="19"/>
      <c r="J202" s="19"/>
      <c r="K202" s="19"/>
      <c r="L202" s="19"/>
      <c r="M202" s="269"/>
      <c r="N202" s="19"/>
      <c r="O202" s="19"/>
      <c r="P202" s="19"/>
      <c r="Q202" s="456">
        <f>SUM(Q200:Q201)</f>
        <v>5.0110000000000001</v>
      </c>
      <c r="R202" s="456">
        <f>SUM(R200:R201)</f>
        <v>5.3</v>
      </c>
      <c r="S202" s="456">
        <f>SUM(S200:S201)</f>
        <v>5.4020000000000001</v>
      </c>
      <c r="T202" s="12"/>
      <c r="U202" s="12"/>
    </row>
    <row r="203" spans="2:21" x14ac:dyDescent="0.25">
      <c r="B203" s="114"/>
      <c r="C203" s="114" t="s">
        <v>642</v>
      </c>
      <c r="D203" s="114"/>
      <c r="E203" s="114"/>
      <c r="F203" s="12"/>
      <c r="G203" s="12"/>
      <c r="H203" s="12"/>
      <c r="I203" s="12"/>
      <c r="J203" s="12"/>
      <c r="K203" s="12"/>
      <c r="L203" s="12"/>
      <c r="M203" s="264"/>
      <c r="N203" s="12"/>
      <c r="O203" s="12"/>
      <c r="P203" s="12"/>
      <c r="Q203" s="18">
        <f>Q200/SUM(Q200:Q201)</f>
        <v>0.87620378025486789</v>
      </c>
      <c r="R203" s="18">
        <f>R200/SUM(R200:R201)</f>
        <v>0.82998382749326149</v>
      </c>
      <c r="S203" s="18">
        <f>S200/SUM(S200:S201)</f>
        <v>0.85071137673877395</v>
      </c>
      <c r="T203" s="12"/>
      <c r="U203" s="12"/>
    </row>
    <row r="204" spans="2:21" x14ac:dyDescent="0.25">
      <c r="B204" s="114"/>
      <c r="C204" s="114" t="s">
        <v>643</v>
      </c>
      <c r="D204" s="114"/>
      <c r="E204" s="114"/>
      <c r="F204" s="12"/>
      <c r="G204" s="12"/>
      <c r="H204" s="12"/>
      <c r="I204" s="12"/>
      <c r="J204" s="12"/>
      <c r="K204" s="12"/>
      <c r="L204" s="12"/>
      <c r="M204" s="264"/>
      <c r="N204" s="12"/>
      <c r="O204" s="12"/>
      <c r="P204" s="12"/>
      <c r="Q204" s="18">
        <f>1-Q203</f>
        <v>0.12379621974513211</v>
      </c>
      <c r="R204" s="18">
        <f>1-R203</f>
        <v>0.17001617250673851</v>
      </c>
      <c r="S204" s="18">
        <f>1-S203</f>
        <v>0.14928862326122605</v>
      </c>
      <c r="T204" s="12"/>
      <c r="U204" s="12"/>
    </row>
    <row r="205" spans="2:21" x14ac:dyDescent="0.25">
      <c r="B205" s="114"/>
      <c r="C205" s="457" t="s">
        <v>646</v>
      </c>
      <c r="D205" s="114"/>
      <c r="E205" s="114"/>
      <c r="F205" s="12"/>
      <c r="G205" s="12"/>
      <c r="H205" s="12"/>
      <c r="I205" s="12"/>
      <c r="J205" s="12"/>
      <c r="K205" s="12"/>
      <c r="L205" s="12"/>
      <c r="M205" s="264"/>
      <c r="N205" s="12"/>
      <c r="O205" s="12"/>
      <c r="P205" s="12"/>
      <c r="Q205" s="18"/>
      <c r="R205" s="18"/>
      <c r="S205" s="18"/>
      <c r="T205" s="12"/>
      <c r="U205" s="12"/>
    </row>
    <row r="206" spans="2:21" x14ac:dyDescent="0.25">
      <c r="B206" s="114" t="s">
        <v>168</v>
      </c>
      <c r="C206" s="114" t="s">
        <v>169</v>
      </c>
      <c r="D206" s="114" t="s">
        <v>16</v>
      </c>
      <c r="E206" s="114" t="s">
        <v>24</v>
      </c>
      <c r="F206" s="12"/>
      <c r="G206" s="12" t="s">
        <v>7</v>
      </c>
      <c r="H206" s="12"/>
      <c r="I206" s="12"/>
      <c r="J206" s="12"/>
      <c r="K206" s="12"/>
      <c r="L206" s="12"/>
      <c r="M206" s="264"/>
      <c r="N206" s="12"/>
      <c r="O206" s="12"/>
      <c r="P206" s="12"/>
      <c r="Q206" s="470"/>
      <c r="R206" s="470"/>
      <c r="S206" s="470"/>
      <c r="T206" s="12"/>
      <c r="U206" s="12"/>
    </row>
    <row r="207" spans="2:21" x14ac:dyDescent="0.25">
      <c r="B207" s="114" t="s">
        <v>168</v>
      </c>
      <c r="C207" s="114" t="s">
        <v>169</v>
      </c>
      <c r="D207" s="114" t="s">
        <v>171</v>
      </c>
      <c r="E207" s="114" t="s">
        <v>1</v>
      </c>
      <c r="F207" s="12"/>
      <c r="G207" s="12" t="s">
        <v>9</v>
      </c>
      <c r="H207" s="12"/>
      <c r="I207" s="12"/>
      <c r="J207" s="12"/>
      <c r="K207" s="12"/>
      <c r="L207" s="12"/>
      <c r="M207" s="264"/>
      <c r="N207" s="12"/>
      <c r="O207" s="12"/>
      <c r="P207" s="12"/>
      <c r="Q207" s="18"/>
      <c r="R207" s="18"/>
      <c r="S207" s="18"/>
      <c r="T207" s="12"/>
      <c r="U207" s="12"/>
    </row>
    <row r="208" spans="2:21" x14ac:dyDescent="0.25">
      <c r="B208" s="114" t="s">
        <v>168</v>
      </c>
      <c r="C208" s="114" t="s">
        <v>174</v>
      </c>
      <c r="D208" s="114" t="s">
        <v>16</v>
      </c>
      <c r="E208" s="114" t="s">
        <v>24</v>
      </c>
      <c r="F208" s="12"/>
      <c r="G208" s="12" t="s">
        <v>7</v>
      </c>
      <c r="H208" s="12"/>
      <c r="I208" s="12"/>
      <c r="J208" s="12"/>
      <c r="K208" s="12"/>
      <c r="L208" s="12"/>
      <c r="M208" s="264"/>
      <c r="N208" s="12"/>
      <c r="O208" s="12"/>
      <c r="P208" s="12"/>
      <c r="Q208" s="18"/>
      <c r="R208" s="18"/>
      <c r="S208" s="18"/>
      <c r="T208" s="12"/>
      <c r="U208" s="12"/>
    </row>
    <row r="209" spans="2:22" x14ac:dyDescent="0.25">
      <c r="B209" s="114" t="s">
        <v>168</v>
      </c>
      <c r="C209" s="114" t="s">
        <v>177</v>
      </c>
      <c r="D209" s="114" t="s">
        <v>178</v>
      </c>
      <c r="E209" s="114" t="s">
        <v>1</v>
      </c>
      <c r="F209" s="12"/>
      <c r="G209" s="12" t="s">
        <v>8</v>
      </c>
      <c r="H209" s="12"/>
      <c r="I209" s="12"/>
      <c r="J209" s="12"/>
      <c r="K209" s="12"/>
      <c r="L209" s="12"/>
      <c r="M209" s="264"/>
      <c r="N209" s="12"/>
      <c r="O209" s="12"/>
      <c r="P209" s="12"/>
      <c r="Q209" s="18"/>
      <c r="R209" s="18"/>
      <c r="S209" s="18"/>
      <c r="T209" s="12"/>
      <c r="U209" s="12"/>
    </row>
    <row r="210" spans="2:22" x14ac:dyDescent="0.25">
      <c r="B210" s="114" t="s">
        <v>168</v>
      </c>
      <c r="C210" s="114" t="s">
        <v>180</v>
      </c>
      <c r="D210" s="114" t="s">
        <v>618</v>
      </c>
      <c r="E210" s="114" t="s">
        <v>618</v>
      </c>
      <c r="F210" s="130"/>
      <c r="G210" s="130" t="s">
        <v>618</v>
      </c>
      <c r="H210" s="12"/>
      <c r="I210" s="12"/>
      <c r="J210" s="12"/>
      <c r="K210" s="12"/>
      <c r="L210" s="12"/>
      <c r="M210" s="264"/>
      <c r="N210" s="12"/>
      <c r="O210" s="12"/>
      <c r="P210" s="12"/>
      <c r="Q210" s="18"/>
      <c r="R210" s="18"/>
      <c r="S210" s="18"/>
      <c r="T210" s="12"/>
      <c r="U210" s="12"/>
    </row>
    <row r="211" spans="2:22" x14ac:dyDescent="0.25">
      <c r="B211" s="114" t="s">
        <v>168</v>
      </c>
      <c r="C211" s="114" t="s">
        <v>180</v>
      </c>
      <c r="D211" s="114" t="s">
        <v>96</v>
      </c>
      <c r="E211" s="114" t="s">
        <v>98</v>
      </c>
      <c r="F211" s="130"/>
      <c r="G211" s="130" t="s">
        <v>173</v>
      </c>
      <c r="H211" s="12"/>
      <c r="I211" s="12"/>
      <c r="J211" s="12"/>
      <c r="K211" s="12"/>
      <c r="L211" s="12"/>
      <c r="M211" s="264"/>
      <c r="N211" s="12"/>
      <c r="O211" s="12"/>
      <c r="P211" s="12"/>
      <c r="Q211" s="18"/>
      <c r="R211" s="18"/>
      <c r="S211" s="18"/>
      <c r="T211" s="12"/>
      <c r="U211" s="12"/>
    </row>
    <row r="212" spans="2:22" x14ac:dyDescent="0.25">
      <c r="B212" s="114" t="s">
        <v>168</v>
      </c>
      <c r="C212" s="114" t="s">
        <v>180</v>
      </c>
      <c r="D212" s="114" t="s">
        <v>171</v>
      </c>
      <c r="E212" s="115" t="s">
        <v>98</v>
      </c>
      <c r="F212" s="130"/>
      <c r="G212" s="130" t="s">
        <v>173</v>
      </c>
      <c r="H212" s="12"/>
      <c r="I212" s="12"/>
      <c r="J212" s="12"/>
      <c r="K212" s="12"/>
      <c r="L212" s="12"/>
      <c r="M212" s="264"/>
      <c r="N212" s="12"/>
      <c r="O212" s="12"/>
      <c r="P212" s="12"/>
      <c r="Q212" s="18"/>
      <c r="R212" s="18"/>
      <c r="S212" s="18"/>
      <c r="T212" s="12"/>
      <c r="U212" s="12"/>
    </row>
    <row r="213" spans="2:22" x14ac:dyDescent="0.25">
      <c r="B213" s="114" t="s">
        <v>182</v>
      </c>
      <c r="C213" s="114" t="s">
        <v>183</v>
      </c>
      <c r="D213" s="114" t="s">
        <v>17</v>
      </c>
      <c r="E213" s="114" t="s">
        <v>24</v>
      </c>
      <c r="F213" s="12"/>
      <c r="G213" s="12" t="s">
        <v>10</v>
      </c>
      <c r="H213" s="12"/>
      <c r="I213" s="12"/>
      <c r="J213" s="12"/>
      <c r="K213" s="12"/>
      <c r="L213" s="12"/>
      <c r="M213" s="264"/>
      <c r="N213" s="12"/>
      <c r="O213" s="12"/>
      <c r="P213" s="12"/>
      <c r="Q213" s="18"/>
      <c r="R213" s="18"/>
      <c r="S213" s="18"/>
      <c r="T213" s="12"/>
      <c r="U213" s="12"/>
    </row>
    <row r="214" spans="2:22" x14ac:dyDescent="0.25">
      <c r="B214" s="114" t="s">
        <v>184</v>
      </c>
      <c r="C214" s="114"/>
      <c r="D214" s="114" t="s">
        <v>178</v>
      </c>
      <c r="E214" s="114" t="s">
        <v>1</v>
      </c>
      <c r="F214" s="12"/>
      <c r="G214" s="12" t="s">
        <v>8</v>
      </c>
      <c r="H214" s="12"/>
      <c r="I214" s="12"/>
      <c r="J214" s="12"/>
      <c r="K214" s="12"/>
      <c r="L214" s="12"/>
      <c r="M214" s="264"/>
      <c r="N214" s="12"/>
      <c r="O214" s="12"/>
      <c r="P214" s="12"/>
      <c r="Q214" s="18"/>
      <c r="R214" s="18"/>
      <c r="S214" s="18"/>
      <c r="T214" s="12"/>
      <c r="U214" s="12"/>
    </row>
    <row r="215" spans="2:22" x14ac:dyDescent="0.25">
      <c r="B215" s="114"/>
      <c r="C215" s="114"/>
      <c r="D215" s="114"/>
      <c r="E215" s="114"/>
      <c r="F215" s="12"/>
      <c r="G215" s="12"/>
      <c r="H215" s="12"/>
      <c r="I215" s="12"/>
      <c r="J215" s="12"/>
      <c r="K215" s="12"/>
      <c r="L215" s="12"/>
      <c r="M215" s="264"/>
      <c r="N215" s="12"/>
      <c r="O215" s="12"/>
      <c r="P215" s="12"/>
      <c r="Q215" s="18"/>
      <c r="R215" s="18"/>
      <c r="S215" s="18"/>
      <c r="T215" s="12"/>
      <c r="U215" s="12"/>
    </row>
    <row r="216" spans="2:22" x14ac:dyDescent="0.25">
      <c r="B216" s="114"/>
      <c r="C216" s="114"/>
      <c r="D216" s="114"/>
      <c r="E216" s="114"/>
      <c r="F216" s="12"/>
      <c r="G216" s="12"/>
      <c r="H216" s="12"/>
      <c r="I216" s="12"/>
      <c r="J216" s="12"/>
      <c r="K216" s="12"/>
      <c r="L216" s="12"/>
      <c r="M216" s="264"/>
      <c r="N216" s="12"/>
      <c r="O216" s="12"/>
      <c r="P216" s="12"/>
      <c r="Q216" s="294"/>
      <c r="R216" s="294"/>
      <c r="S216" s="294"/>
      <c r="T216" s="12"/>
      <c r="U216" s="12"/>
    </row>
    <row r="217" spans="2:22" ht="15.75" x14ac:dyDescent="0.25">
      <c r="B217" s="313" t="s">
        <v>307</v>
      </c>
      <c r="C217" s="114"/>
      <c r="D217" s="114"/>
      <c r="E217" s="114"/>
      <c r="F217" s="12"/>
      <c r="G217" s="12"/>
      <c r="H217" s="12"/>
      <c r="I217" s="12"/>
      <c r="J217" s="12"/>
      <c r="K217" s="12"/>
      <c r="L217" s="12"/>
      <c r="M217" s="264"/>
      <c r="N217" s="12"/>
      <c r="O217" s="12"/>
      <c r="P217" s="12"/>
      <c r="Q217" s="294"/>
      <c r="R217" s="294"/>
      <c r="S217" s="294"/>
      <c r="T217" s="12"/>
      <c r="U217" s="12"/>
    </row>
    <row r="218" spans="2:22" x14ac:dyDescent="0.25">
      <c r="B218" s="297" t="s">
        <v>168</v>
      </c>
      <c r="C218" s="298" t="s">
        <v>169</v>
      </c>
      <c r="D218" s="298" t="s">
        <v>16</v>
      </c>
      <c r="E218" s="298" t="s">
        <v>24</v>
      </c>
      <c r="F218" s="16"/>
      <c r="G218" s="16"/>
      <c r="H218" s="314" t="s">
        <v>310</v>
      </c>
      <c r="I218" s="16"/>
      <c r="J218" s="16"/>
      <c r="K218" s="16"/>
      <c r="L218" s="16"/>
      <c r="M218" s="263"/>
      <c r="N218" s="16"/>
      <c r="O218" s="16"/>
      <c r="P218" s="16"/>
      <c r="Q218" s="315">
        <f>Q122</f>
        <v>0.82</v>
      </c>
      <c r="R218" s="315">
        <f>R122</f>
        <v>0.81</v>
      </c>
      <c r="S218" s="315">
        <f>S122</f>
        <v>0.85</v>
      </c>
      <c r="T218" s="316">
        <f>R218</f>
        <v>0.81</v>
      </c>
      <c r="U218" s="317">
        <f>T218</f>
        <v>0.81</v>
      </c>
      <c r="V218" t="s">
        <v>311</v>
      </c>
    </row>
    <row r="219" spans="2:22" x14ac:dyDescent="0.25">
      <c r="B219" s="123" t="s">
        <v>168</v>
      </c>
      <c r="C219" s="114" t="s">
        <v>169</v>
      </c>
      <c r="D219" s="114" t="s">
        <v>171</v>
      </c>
      <c r="E219" s="114" t="s">
        <v>1</v>
      </c>
      <c r="F219" s="12"/>
      <c r="G219" s="12"/>
      <c r="H219" s="307" t="s">
        <v>310</v>
      </c>
      <c r="I219" s="12"/>
      <c r="J219" s="12"/>
      <c r="K219" s="12"/>
      <c r="L219" s="12"/>
      <c r="M219" s="264"/>
      <c r="N219" s="12"/>
      <c r="O219" s="12"/>
      <c r="P219" s="12"/>
      <c r="Q219" s="309">
        <f>Q218</f>
        <v>0.82</v>
      </c>
      <c r="R219" s="309">
        <f>R218</f>
        <v>0.81</v>
      </c>
      <c r="S219" s="309">
        <f>S218</f>
        <v>0.85</v>
      </c>
      <c r="T219" s="308">
        <v>0.85</v>
      </c>
      <c r="U219" s="318">
        <v>0.81</v>
      </c>
      <c r="V219" t="s">
        <v>311</v>
      </c>
    </row>
    <row r="220" spans="2:22" x14ac:dyDescent="0.25">
      <c r="B220" s="123" t="s">
        <v>168</v>
      </c>
      <c r="C220" s="114" t="s">
        <v>174</v>
      </c>
      <c r="D220" s="114" t="s">
        <v>16</v>
      </c>
      <c r="E220" s="114" t="s">
        <v>24</v>
      </c>
      <c r="F220" s="12"/>
      <c r="G220" s="12"/>
      <c r="H220" s="307" t="s">
        <v>310</v>
      </c>
      <c r="I220" s="12"/>
      <c r="J220" s="12"/>
      <c r="K220" s="12"/>
      <c r="L220" s="12"/>
      <c r="M220" s="264"/>
      <c r="N220" s="12"/>
      <c r="O220" s="12"/>
      <c r="P220" s="12"/>
      <c r="Q220" s="309">
        <f>Q128</f>
        <v>0.81</v>
      </c>
      <c r="R220" s="309">
        <f>R128</f>
        <v>0.76</v>
      </c>
      <c r="S220" s="309">
        <f>S128</f>
        <v>0.81</v>
      </c>
      <c r="T220" s="308">
        <f>R220</f>
        <v>0.76</v>
      </c>
      <c r="U220" s="318">
        <f>T220</f>
        <v>0.76</v>
      </c>
      <c r="V220" t="s">
        <v>311</v>
      </c>
    </row>
    <row r="221" spans="2:22" x14ac:dyDescent="0.25">
      <c r="B221" s="123" t="s">
        <v>168</v>
      </c>
      <c r="C221" s="114" t="s">
        <v>177</v>
      </c>
      <c r="D221" s="114" t="s">
        <v>178</v>
      </c>
      <c r="E221" s="114" t="s">
        <v>1</v>
      </c>
      <c r="F221" s="12"/>
      <c r="G221" s="12"/>
      <c r="H221" s="12"/>
      <c r="I221" s="12"/>
      <c r="J221" s="12"/>
      <c r="K221" s="12"/>
      <c r="L221" s="12"/>
      <c r="M221" s="264"/>
      <c r="N221" s="12"/>
      <c r="O221" s="12"/>
      <c r="P221" s="12"/>
      <c r="Q221" s="294"/>
      <c r="R221" s="294"/>
      <c r="S221" s="294"/>
      <c r="T221" s="12"/>
      <c r="U221" s="5"/>
    </row>
    <row r="222" spans="2:22" x14ac:dyDescent="0.25">
      <c r="B222" s="123" t="s">
        <v>168</v>
      </c>
      <c r="C222" s="114" t="s">
        <v>180</v>
      </c>
      <c r="D222" s="114" t="s">
        <v>96</v>
      </c>
      <c r="E222" s="114" t="s">
        <v>98</v>
      </c>
      <c r="F222" s="12"/>
      <c r="G222" s="130"/>
      <c r="H222" s="307" t="s">
        <v>308</v>
      </c>
      <c r="I222" s="12"/>
      <c r="J222" s="12"/>
      <c r="K222" s="12"/>
      <c r="L222" s="12"/>
      <c r="M222" s="264"/>
      <c r="N222" s="12"/>
      <c r="O222" s="12"/>
      <c r="P222" s="12"/>
      <c r="Q222" s="294"/>
      <c r="R222" s="294"/>
      <c r="S222" s="294"/>
      <c r="T222" s="12"/>
      <c r="U222" s="5">
        <v>0</v>
      </c>
      <c r="V222" t="s">
        <v>309</v>
      </c>
    </row>
    <row r="223" spans="2:22" x14ac:dyDescent="0.25">
      <c r="B223" s="123" t="s">
        <v>168</v>
      </c>
      <c r="C223" s="114" t="s">
        <v>180</v>
      </c>
      <c r="D223" s="114" t="s">
        <v>171</v>
      </c>
      <c r="E223" s="115" t="s">
        <v>98</v>
      </c>
      <c r="F223" s="12"/>
      <c r="G223" s="130"/>
      <c r="H223" s="12" t="s">
        <v>308</v>
      </c>
      <c r="I223" s="12"/>
      <c r="J223" s="12"/>
      <c r="K223" s="12"/>
      <c r="L223" s="12"/>
      <c r="M223" s="264"/>
      <c r="N223" s="12"/>
      <c r="O223" s="12"/>
      <c r="P223" s="12"/>
      <c r="Q223" s="294"/>
      <c r="R223" s="294"/>
      <c r="S223" s="294"/>
      <c r="T223" s="12"/>
      <c r="U223" s="5">
        <v>0</v>
      </c>
      <c r="V223" t="s">
        <v>309</v>
      </c>
    </row>
    <row r="224" spans="2:22" x14ac:dyDescent="0.25">
      <c r="B224" s="123" t="s">
        <v>182</v>
      </c>
      <c r="C224" s="114" t="s">
        <v>183</v>
      </c>
      <c r="D224" s="114" t="s">
        <v>17</v>
      </c>
      <c r="E224" s="114" t="s">
        <v>24</v>
      </c>
      <c r="F224" s="12"/>
      <c r="G224" s="12"/>
      <c r="H224" s="307" t="s">
        <v>308</v>
      </c>
      <c r="I224" s="12"/>
      <c r="J224" s="12"/>
      <c r="K224" s="12"/>
      <c r="L224" s="12"/>
      <c r="M224" s="264"/>
      <c r="N224" s="12"/>
      <c r="O224" s="12"/>
      <c r="P224" s="12"/>
      <c r="Q224" s="294"/>
      <c r="R224" s="294"/>
      <c r="S224" s="294"/>
      <c r="T224" s="12"/>
      <c r="U224" s="5">
        <v>0</v>
      </c>
    </row>
    <row r="225" spans="2:22" x14ac:dyDescent="0.25">
      <c r="B225" s="123" t="s">
        <v>184</v>
      </c>
      <c r="C225" s="114"/>
      <c r="D225" s="114" t="s">
        <v>178</v>
      </c>
      <c r="E225" s="114" t="s">
        <v>1</v>
      </c>
      <c r="F225" s="12"/>
      <c r="G225" s="12"/>
      <c r="H225" s="307" t="s">
        <v>310</v>
      </c>
      <c r="I225" s="12"/>
      <c r="J225" s="12"/>
      <c r="K225" s="12"/>
      <c r="L225" s="12"/>
      <c r="M225" s="264"/>
      <c r="N225" s="12"/>
      <c r="O225" s="12"/>
      <c r="P225" s="12"/>
      <c r="Q225" s="294"/>
      <c r="R225" s="294"/>
      <c r="S225" s="294"/>
      <c r="T225" s="308"/>
      <c r="U225" s="318"/>
    </row>
    <row r="226" spans="2:22" x14ac:dyDescent="0.25">
      <c r="B226" s="123"/>
      <c r="C226" s="114"/>
      <c r="D226" s="114"/>
      <c r="E226" s="114"/>
      <c r="F226" s="12"/>
      <c r="G226" s="12"/>
      <c r="H226" s="307"/>
      <c r="I226" s="12"/>
      <c r="J226" s="12"/>
      <c r="K226" s="12"/>
      <c r="L226" s="12"/>
      <c r="M226" s="264"/>
      <c r="N226" s="12"/>
      <c r="O226" s="12"/>
      <c r="P226" s="12"/>
      <c r="Q226" s="294"/>
      <c r="R226" s="294"/>
      <c r="S226" s="294"/>
      <c r="T226" s="308"/>
      <c r="U226" s="318"/>
    </row>
    <row r="227" spans="2:22" x14ac:dyDescent="0.25">
      <c r="B227" s="123"/>
      <c r="C227" s="114"/>
      <c r="D227" s="114"/>
      <c r="E227" s="114"/>
      <c r="F227" s="12"/>
      <c r="G227" s="12"/>
      <c r="H227" s="12"/>
      <c r="I227" s="12"/>
      <c r="J227" s="12"/>
      <c r="K227" s="12"/>
      <c r="L227" s="12"/>
      <c r="M227" s="264"/>
      <c r="N227" s="12"/>
      <c r="O227" s="12"/>
      <c r="P227" s="12"/>
      <c r="Q227" s="294"/>
      <c r="R227" s="294"/>
      <c r="S227" s="294"/>
      <c r="T227" s="12"/>
      <c r="U227" s="5"/>
    </row>
    <row r="228" spans="2:22" ht="15.75" x14ac:dyDescent="0.25">
      <c r="B228" s="369" t="s">
        <v>312</v>
      </c>
      <c r="C228" s="114"/>
      <c r="D228" s="114"/>
      <c r="E228" s="114"/>
      <c r="F228" s="12"/>
      <c r="G228" s="12"/>
      <c r="H228" s="12"/>
      <c r="I228" s="12"/>
      <c r="J228" s="12"/>
      <c r="K228" s="12"/>
      <c r="L228" s="12"/>
      <c r="M228" s="264"/>
      <c r="N228" s="12"/>
      <c r="O228" s="12"/>
      <c r="P228" s="12"/>
      <c r="Q228" s="294"/>
      <c r="R228" s="294"/>
      <c r="S228" s="294"/>
      <c r="T228" s="12"/>
      <c r="U228" s="5"/>
    </row>
    <row r="229" spans="2:22" x14ac:dyDescent="0.25">
      <c r="B229" s="123" t="s">
        <v>168</v>
      </c>
      <c r="C229" s="114" t="s">
        <v>169</v>
      </c>
      <c r="D229" s="114" t="s">
        <v>16</v>
      </c>
      <c r="E229" s="114" t="s">
        <v>24</v>
      </c>
      <c r="F229" s="12" t="s">
        <v>7</v>
      </c>
      <c r="G229" s="12"/>
      <c r="H229" s="307" t="s">
        <v>308</v>
      </c>
      <c r="I229" s="12"/>
      <c r="J229" s="12"/>
      <c r="K229" s="12"/>
      <c r="L229" s="12"/>
      <c r="M229" s="264"/>
      <c r="N229" s="12"/>
      <c r="O229" s="12"/>
      <c r="P229" s="12"/>
      <c r="Q229" s="294"/>
      <c r="R229" s="294"/>
      <c r="S229" s="294"/>
      <c r="T229" s="310">
        <f>S139*(T218/S218)</f>
        <v>1.5936009538950717</v>
      </c>
      <c r="U229" s="319">
        <f>T229*(U218/T218)</f>
        <v>1.5936009538950717</v>
      </c>
    </row>
    <row r="230" spans="2:22" x14ac:dyDescent="0.25">
      <c r="B230" s="123" t="s">
        <v>168</v>
      </c>
      <c r="C230" s="114" t="s">
        <v>169</v>
      </c>
      <c r="D230" s="114" t="s">
        <v>171</v>
      </c>
      <c r="E230" s="114" t="s">
        <v>1</v>
      </c>
      <c r="F230" s="12" t="s">
        <v>9</v>
      </c>
      <c r="G230" s="12"/>
      <c r="H230" s="307" t="s">
        <v>308</v>
      </c>
      <c r="I230" s="12"/>
      <c r="J230" s="12"/>
      <c r="K230" s="12"/>
      <c r="L230" s="12"/>
      <c r="M230" s="264"/>
      <c r="N230" s="12"/>
      <c r="O230" s="12"/>
      <c r="P230" s="12"/>
      <c r="Q230" s="294"/>
      <c r="R230" s="294"/>
      <c r="S230" s="294"/>
      <c r="T230" s="310">
        <f>S140*(T219/S219)</f>
        <v>0.80270270270270283</v>
      </c>
      <c r="U230" s="319">
        <f>T230*(U219/T219)</f>
        <v>0.76492845786963448</v>
      </c>
    </row>
    <row r="231" spans="2:22" x14ac:dyDescent="0.25">
      <c r="B231" s="123" t="s">
        <v>168</v>
      </c>
      <c r="C231" s="114" t="s">
        <v>174</v>
      </c>
      <c r="D231" s="114" t="s">
        <v>16</v>
      </c>
      <c r="E231" s="114" t="s">
        <v>24</v>
      </c>
      <c r="F231" s="12" t="s">
        <v>7</v>
      </c>
      <c r="G231" s="12"/>
      <c r="H231" s="307" t="s">
        <v>308</v>
      </c>
      <c r="I231" s="12"/>
      <c r="J231" s="12"/>
      <c r="K231" s="12"/>
      <c r="L231" s="12"/>
      <c r="M231" s="264"/>
      <c r="N231" s="12"/>
      <c r="O231" s="12"/>
      <c r="P231" s="12"/>
      <c r="Q231" s="294"/>
      <c r="R231" s="294"/>
      <c r="S231" s="294"/>
      <c r="T231" s="310">
        <f>S141*(T220/S220)</f>
        <v>1.4364938271604937</v>
      </c>
      <c r="U231" s="319">
        <f>T231*(U220/T220)</f>
        <v>1.4364938271604937</v>
      </c>
    </row>
    <row r="232" spans="2:22" x14ac:dyDescent="0.25">
      <c r="B232" s="123" t="s">
        <v>168</v>
      </c>
      <c r="C232" s="114" t="s">
        <v>177</v>
      </c>
      <c r="D232" s="114" t="s">
        <v>178</v>
      </c>
      <c r="E232" s="114" t="s">
        <v>1</v>
      </c>
      <c r="F232" s="12" t="s">
        <v>8</v>
      </c>
      <c r="G232" s="12"/>
      <c r="H232" s="307" t="s">
        <v>308</v>
      </c>
      <c r="I232" s="12"/>
      <c r="J232" s="12"/>
      <c r="K232" s="12"/>
      <c r="L232" s="12"/>
      <c r="M232" s="264"/>
      <c r="N232" s="12"/>
      <c r="O232" s="12"/>
      <c r="P232" s="12"/>
      <c r="Q232" s="294"/>
      <c r="R232" s="294"/>
      <c r="S232" s="294"/>
      <c r="T232" s="12">
        <v>0</v>
      </c>
      <c r="U232" s="5">
        <v>0</v>
      </c>
    </row>
    <row r="233" spans="2:22" x14ac:dyDescent="0.25">
      <c r="B233" s="123" t="s">
        <v>168</v>
      </c>
      <c r="C233" s="114" t="s">
        <v>180</v>
      </c>
      <c r="D233" s="114" t="s">
        <v>96</v>
      </c>
      <c r="E233" s="114" t="s">
        <v>98</v>
      </c>
      <c r="F233" s="130" t="s">
        <v>173</v>
      </c>
      <c r="G233" s="12"/>
      <c r="H233" s="307" t="s">
        <v>308</v>
      </c>
      <c r="I233" s="12"/>
      <c r="J233" s="12"/>
      <c r="K233" s="12"/>
      <c r="L233" s="12"/>
      <c r="M233" s="264"/>
      <c r="N233" s="12"/>
      <c r="O233" s="12"/>
      <c r="P233" s="12"/>
      <c r="Q233" s="294"/>
      <c r="R233" s="294"/>
      <c r="S233" s="294"/>
      <c r="T233" s="310">
        <f>S143</f>
        <v>0.54300000000000004</v>
      </c>
      <c r="U233" s="319">
        <v>0</v>
      </c>
    </row>
    <row r="234" spans="2:22" x14ac:dyDescent="0.25">
      <c r="B234" s="123" t="s">
        <v>168</v>
      </c>
      <c r="C234" s="114" t="s">
        <v>180</v>
      </c>
      <c r="D234" s="114" t="s">
        <v>171</v>
      </c>
      <c r="E234" s="115" t="s">
        <v>98</v>
      </c>
      <c r="F234" s="130" t="s">
        <v>173</v>
      </c>
      <c r="G234" s="12"/>
      <c r="H234" s="307" t="s">
        <v>308</v>
      </c>
      <c r="I234" s="12"/>
      <c r="J234" s="12"/>
      <c r="K234" s="12"/>
      <c r="L234" s="12"/>
      <c r="M234" s="264"/>
      <c r="N234" s="12"/>
      <c r="O234" s="12"/>
      <c r="P234" s="12"/>
      <c r="Q234" s="294"/>
      <c r="R234" s="294"/>
      <c r="S234" s="294"/>
      <c r="T234" s="310">
        <f>S144</f>
        <v>0.54300000000000004</v>
      </c>
      <c r="U234" s="319">
        <v>0</v>
      </c>
    </row>
    <row r="235" spans="2:22" x14ac:dyDescent="0.25">
      <c r="B235" s="123" t="s">
        <v>182</v>
      </c>
      <c r="C235" s="114" t="s">
        <v>183</v>
      </c>
      <c r="D235" s="114" t="s">
        <v>17</v>
      </c>
      <c r="E235" s="114" t="s">
        <v>24</v>
      </c>
      <c r="F235" s="12" t="s">
        <v>10</v>
      </c>
      <c r="G235" s="12"/>
      <c r="H235" s="307" t="s">
        <v>308</v>
      </c>
      <c r="I235" s="12"/>
      <c r="J235" s="12"/>
      <c r="K235" s="12"/>
      <c r="L235" s="12"/>
      <c r="M235" s="264"/>
      <c r="N235" s="12"/>
      <c r="O235" s="12"/>
      <c r="P235" s="12"/>
      <c r="Q235" s="294"/>
      <c r="R235" s="294"/>
      <c r="S235" s="294"/>
      <c r="T235" s="311">
        <v>0</v>
      </c>
      <c r="U235" s="320">
        <v>0</v>
      </c>
    </row>
    <row r="236" spans="2:22" x14ac:dyDescent="0.25">
      <c r="B236" s="300" t="s">
        <v>184</v>
      </c>
      <c r="C236" s="124"/>
      <c r="D236" s="124" t="s">
        <v>178</v>
      </c>
      <c r="E236" s="124" t="s">
        <v>1</v>
      </c>
      <c r="F236" s="8" t="s">
        <v>8</v>
      </c>
      <c r="G236" s="8"/>
      <c r="H236" s="321" t="s">
        <v>308</v>
      </c>
      <c r="I236" s="8"/>
      <c r="J236" s="8"/>
      <c r="K236" s="8"/>
      <c r="L236" s="8"/>
      <c r="M236" s="268"/>
      <c r="N236" s="8"/>
      <c r="O236" s="8"/>
      <c r="P236" s="8"/>
      <c r="Q236" s="301"/>
      <c r="R236" s="301"/>
      <c r="S236" s="301"/>
      <c r="T236" s="322">
        <f>S146</f>
        <v>1.2079999999999993</v>
      </c>
      <c r="U236" s="323">
        <f>T236</f>
        <v>1.2079999999999993</v>
      </c>
    </row>
    <row r="237" spans="2:22" x14ac:dyDescent="0.25">
      <c r="B237" s="114"/>
      <c r="C237" s="114"/>
      <c r="D237" s="114"/>
      <c r="E237" s="114"/>
      <c r="F237" s="12"/>
      <c r="G237" s="12"/>
      <c r="H237" s="12"/>
      <c r="I237" s="12"/>
      <c r="J237" s="12"/>
      <c r="K237" s="12"/>
      <c r="L237" s="12"/>
      <c r="M237" s="264"/>
      <c r="N237" s="12"/>
      <c r="O237" s="12"/>
      <c r="P237" s="12"/>
      <c r="Q237" s="294"/>
      <c r="R237" s="294"/>
      <c r="S237" s="294"/>
      <c r="T237" s="12"/>
      <c r="U237" s="12"/>
    </row>
    <row r="238" spans="2:22" x14ac:dyDescent="0.25"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264"/>
      <c r="N238" s="12"/>
      <c r="O238" s="12"/>
      <c r="P238" s="12"/>
      <c r="Q238" s="294"/>
      <c r="R238" s="294"/>
      <c r="S238" s="294"/>
    </row>
    <row r="239" spans="2:22" ht="18.75" x14ac:dyDescent="0.3">
      <c r="B239" s="126" t="s">
        <v>320</v>
      </c>
    </row>
    <row r="240" spans="2:22" x14ac:dyDescent="0.25">
      <c r="B240" s="15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263"/>
      <c r="N240" s="16"/>
      <c r="O240" s="16"/>
      <c r="P240" s="16"/>
      <c r="Q240" s="16"/>
      <c r="R240" s="16"/>
      <c r="S240" s="16"/>
      <c r="T240" s="16"/>
      <c r="U240" s="16"/>
      <c r="V240" s="3"/>
    </row>
    <row r="241" spans="2:31" ht="16.5" customHeight="1" x14ac:dyDescent="0.25">
      <c r="B241" s="6" t="s">
        <v>208</v>
      </c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264"/>
      <c r="N241" s="681" t="s">
        <v>531</v>
      </c>
      <c r="O241" s="682"/>
      <c r="P241" s="12"/>
      <c r="Q241" s="12"/>
      <c r="R241" s="12"/>
      <c r="S241" s="12"/>
      <c r="T241" s="12"/>
      <c r="U241" s="12"/>
      <c r="V241" s="5"/>
      <c r="Y241" s="131"/>
      <c r="Z241" s="131">
        <v>2015</v>
      </c>
      <c r="AA241" s="131">
        <v>2016</v>
      </c>
      <c r="AB241" s="131">
        <v>2017</v>
      </c>
      <c r="AC241" s="131">
        <v>2018</v>
      </c>
      <c r="AD241" s="131">
        <v>2019</v>
      </c>
      <c r="AE241" s="131">
        <v>2020</v>
      </c>
    </row>
    <row r="242" spans="2:31" x14ac:dyDescent="0.25">
      <c r="B242" s="144" t="s">
        <v>7</v>
      </c>
      <c r="C242" s="145"/>
      <c r="D242" s="145"/>
      <c r="E242" s="145"/>
      <c r="F242" s="145"/>
      <c r="G242" s="145"/>
      <c r="H242" s="145"/>
      <c r="I242" s="145"/>
      <c r="J242" s="145"/>
      <c r="K242" s="145"/>
      <c r="L242" s="145"/>
      <c r="M242" s="268">
        <f>SUMIFS(M$108:M$236,$F$108:$F$236,$B242)</f>
        <v>3.3</v>
      </c>
      <c r="N242" s="420">
        <f t="shared" ref="N242:O246" si="26">M242*(N$247/M$247)</f>
        <v>3.3760806916426511</v>
      </c>
      <c r="O242" s="420">
        <f t="shared" si="26"/>
        <v>3.0907780979827089</v>
      </c>
      <c r="P242" s="312">
        <f>SUMIFS(P$108:P$236,$F$108:$F$236,$B242)</f>
        <v>3.1641891891891891</v>
      </c>
      <c r="Q242" s="312">
        <f>SUMIFS(Q$108:Q$236,$F$108:$F$236,$B242)</f>
        <v>3.1641891891891891</v>
      </c>
      <c r="R242" s="312">
        <f t="shared" ref="P242:U246" si="27">SUMIFS(R$108:R$236,$F$108:$F$236,$B242)</f>
        <v>3.0330810810810807</v>
      </c>
      <c r="S242" s="312">
        <f t="shared" si="27"/>
        <v>3.2032972972972971</v>
      </c>
      <c r="T242" s="312">
        <f t="shared" si="27"/>
        <v>3.0300947810555652</v>
      </c>
      <c r="U242" s="312">
        <f t="shared" si="27"/>
        <v>3.0300947810555652</v>
      </c>
      <c r="V242" s="5"/>
      <c r="Y242" s="493" t="s">
        <v>7</v>
      </c>
      <c r="Z242" s="493">
        <v>3.1641891891891891</v>
      </c>
      <c r="AA242" s="493">
        <v>3.1641891891891891</v>
      </c>
      <c r="AB242" s="493">
        <v>3.0330810810810807</v>
      </c>
      <c r="AC242" s="493">
        <v>3.2032972972972971</v>
      </c>
      <c r="AD242" s="493">
        <v>3.0300947810555652</v>
      </c>
      <c r="AE242" s="493">
        <v>3.0300947810555652</v>
      </c>
    </row>
    <row r="243" spans="2:31" x14ac:dyDescent="0.25">
      <c r="B243" s="144" t="s">
        <v>173</v>
      </c>
      <c r="C243" s="145"/>
      <c r="D243" s="145"/>
      <c r="E243" s="145"/>
      <c r="F243" s="145"/>
      <c r="G243" s="145"/>
      <c r="H243" s="145"/>
      <c r="I243" s="145"/>
      <c r="J243" s="145"/>
      <c r="K243" s="145"/>
      <c r="L243" s="145"/>
      <c r="M243" s="268">
        <f>SUMIFS(M$108:M$236,$F$108:$F$236,$B243)</f>
        <v>1.21</v>
      </c>
      <c r="N243" s="420">
        <f t="shared" si="26"/>
        <v>1.2378962536023055</v>
      </c>
      <c r="O243" s="420">
        <f t="shared" si="26"/>
        <v>1.13328530259366</v>
      </c>
      <c r="P243" s="312">
        <f t="shared" si="27"/>
        <v>0.96299999999999997</v>
      </c>
      <c r="Q243" s="312">
        <f t="shared" si="27"/>
        <v>0.83199999999999996</v>
      </c>
      <c r="R243" s="312">
        <f t="shared" si="27"/>
        <v>1.1180000000000001</v>
      </c>
      <c r="S243" s="312">
        <f t="shared" si="27"/>
        <v>1.0860000000000001</v>
      </c>
      <c r="T243" s="312">
        <f t="shared" si="27"/>
        <v>1.0860000000000001</v>
      </c>
      <c r="U243" s="312">
        <f t="shared" si="27"/>
        <v>0</v>
      </c>
      <c r="V243" s="5"/>
      <c r="Y243" s="493" t="s">
        <v>173</v>
      </c>
      <c r="Z243" s="493">
        <v>0.96299999999999997</v>
      </c>
      <c r="AA243" s="493">
        <v>0.83199999999999996</v>
      </c>
      <c r="AB243" s="493">
        <v>1.1180000000000001</v>
      </c>
      <c r="AC243" s="493">
        <v>1.0860000000000001</v>
      </c>
      <c r="AD243" s="493">
        <v>1.0860000000000001</v>
      </c>
      <c r="AE243" s="493">
        <v>0</v>
      </c>
    </row>
    <row r="244" spans="2:31" x14ac:dyDescent="0.25">
      <c r="B244" s="144" t="s">
        <v>9</v>
      </c>
      <c r="C244" s="145"/>
      <c r="D244" s="145"/>
      <c r="E244" s="145"/>
      <c r="F244" s="145"/>
      <c r="G244" s="145"/>
      <c r="H244" s="145"/>
      <c r="I244" s="145"/>
      <c r="J244" s="145"/>
      <c r="K244" s="145"/>
      <c r="L244" s="145"/>
      <c r="M244" s="268">
        <f>SUMIFS(M$108:M$236,$F$108:$F$236,$B244)</f>
        <v>0.95</v>
      </c>
      <c r="N244" s="420">
        <f>M244*(N$247/M$247)</f>
        <v>0.97190201729106618</v>
      </c>
      <c r="O244" s="420">
        <f t="shared" si="26"/>
        <v>0.88976945244956762</v>
      </c>
      <c r="P244" s="312">
        <f t="shared" si="27"/>
        <v>0.77481081081081082</v>
      </c>
      <c r="Q244" s="312">
        <f t="shared" si="27"/>
        <v>0.77481081081081082</v>
      </c>
      <c r="R244" s="312">
        <f t="shared" si="27"/>
        <v>0.75891891891891894</v>
      </c>
      <c r="S244" s="312">
        <f t="shared" si="27"/>
        <v>0.80270270270270283</v>
      </c>
      <c r="T244" s="312">
        <f t="shared" si="27"/>
        <v>0.80270270270270283</v>
      </c>
      <c r="U244" s="312">
        <f t="shared" si="27"/>
        <v>0.76492845786963448</v>
      </c>
      <c r="V244" s="5"/>
      <c r="Y244" s="493" t="s">
        <v>9</v>
      </c>
      <c r="Z244" s="493">
        <v>0.77481081081081082</v>
      </c>
      <c r="AA244" s="493">
        <v>0.77481081081081082</v>
      </c>
      <c r="AB244" s="493">
        <v>0.75891891891891894</v>
      </c>
      <c r="AC244" s="493">
        <v>0.80270270270270283</v>
      </c>
      <c r="AD244" s="493">
        <v>0.80270270270270283</v>
      </c>
      <c r="AE244" s="493">
        <v>0.76492845786963448</v>
      </c>
    </row>
    <row r="245" spans="2:31" x14ac:dyDescent="0.25">
      <c r="B245" s="144" t="s">
        <v>10</v>
      </c>
      <c r="C245" s="145"/>
      <c r="D245" s="145"/>
      <c r="E245" s="145"/>
      <c r="F245" s="145"/>
      <c r="G245" s="145"/>
      <c r="H245" s="145"/>
      <c r="I245" s="145"/>
      <c r="J245" s="145"/>
      <c r="K245" s="145"/>
      <c r="L245" s="145"/>
      <c r="M245" s="268">
        <f>SUMIFS(M$108:M$236,$F$108:$F$236,$B245)</f>
        <v>0.62</v>
      </c>
      <c r="N245" s="420">
        <f t="shared" si="26"/>
        <v>0.63429394812680118</v>
      </c>
      <c r="O245" s="420">
        <f t="shared" si="26"/>
        <v>0.5806916426512968</v>
      </c>
      <c r="P245" s="312">
        <f t="shared" si="27"/>
        <v>0.1360000000000007</v>
      </c>
      <c r="Q245" s="312">
        <f t="shared" si="27"/>
        <v>0</v>
      </c>
      <c r="R245" s="312">
        <f t="shared" si="27"/>
        <v>0</v>
      </c>
      <c r="S245" s="312">
        <f t="shared" si="27"/>
        <v>0</v>
      </c>
      <c r="T245" s="312">
        <f t="shared" si="27"/>
        <v>0</v>
      </c>
      <c r="U245" s="312">
        <f t="shared" si="27"/>
        <v>0</v>
      </c>
      <c r="V245" s="5"/>
      <c r="Y245" s="493" t="s">
        <v>10</v>
      </c>
      <c r="Z245" s="493">
        <v>0.1360000000000007</v>
      </c>
      <c r="AA245" s="493">
        <v>0</v>
      </c>
      <c r="AB245" s="493">
        <v>0</v>
      </c>
      <c r="AC245" s="493">
        <v>0</v>
      </c>
      <c r="AD245" s="493">
        <v>0</v>
      </c>
      <c r="AE245" s="493">
        <v>0</v>
      </c>
    </row>
    <row r="246" spans="2:31" x14ac:dyDescent="0.25">
      <c r="B246" s="144" t="s">
        <v>8</v>
      </c>
      <c r="C246" s="145"/>
      <c r="D246" s="145"/>
      <c r="E246" s="145"/>
      <c r="F246" s="145"/>
      <c r="G246" s="145"/>
      <c r="H246" s="145"/>
      <c r="I246" s="145"/>
      <c r="J246" s="145"/>
      <c r="K246" s="145"/>
      <c r="L246" s="145"/>
      <c r="M246" s="268">
        <f>SUMIFS(M$108:M$236,$F$108:$F$236,$B246)</f>
        <v>0.86</v>
      </c>
      <c r="N246" s="420">
        <f t="shared" si="26"/>
        <v>0.87982708933717579</v>
      </c>
      <c r="O246" s="420">
        <f t="shared" si="26"/>
        <v>0.8054755043227666</v>
      </c>
      <c r="P246" s="312">
        <f t="shared" si="27"/>
        <v>1.3620000000000003</v>
      </c>
      <c r="Q246" s="312">
        <f t="shared" si="27"/>
        <v>1.3200000000000003</v>
      </c>
      <c r="R246" s="312">
        <f t="shared" si="27"/>
        <v>1.3200000000000003</v>
      </c>
      <c r="S246" s="312">
        <f t="shared" si="27"/>
        <v>1.2079999999999993</v>
      </c>
      <c r="T246" s="312">
        <f t="shared" si="27"/>
        <v>1.2079999999999993</v>
      </c>
      <c r="U246" s="312">
        <f t="shared" si="27"/>
        <v>1.2079999999999993</v>
      </c>
      <c r="V246" s="5"/>
      <c r="Y246" s="493" t="s">
        <v>8</v>
      </c>
      <c r="Z246" s="493">
        <v>1.3620000000000003</v>
      </c>
      <c r="AA246" s="493">
        <v>1.3200000000000003</v>
      </c>
      <c r="AB246" s="493">
        <v>1.3200000000000003</v>
      </c>
      <c r="AC246" s="493">
        <v>1.2079999999999993</v>
      </c>
      <c r="AD246" s="493">
        <v>1.2079999999999993</v>
      </c>
      <c r="AE246" s="493">
        <v>1.2079999999999993</v>
      </c>
    </row>
    <row r="247" spans="2:31" x14ac:dyDescent="0.25">
      <c r="B247" s="129" t="s">
        <v>302</v>
      </c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295">
        <f>SUM(M242:M246)</f>
        <v>6.94</v>
      </c>
      <c r="N247" s="296">
        <f>N154</f>
        <v>7.1</v>
      </c>
      <c r="O247" s="296">
        <f>O154</f>
        <v>6.5</v>
      </c>
      <c r="P247" s="414">
        <f t="shared" ref="P247:U247" si="28">SUM(P242:P246)</f>
        <v>6.4000000000000012</v>
      </c>
      <c r="Q247" s="296">
        <f t="shared" si="28"/>
        <v>6.0910000000000002</v>
      </c>
      <c r="R247" s="296">
        <f t="shared" si="28"/>
        <v>6.23</v>
      </c>
      <c r="S247" s="296">
        <f t="shared" si="28"/>
        <v>6.3</v>
      </c>
      <c r="T247" s="414">
        <f t="shared" si="28"/>
        <v>6.1267974837582679</v>
      </c>
      <c r="U247" s="329">
        <f t="shared" si="28"/>
        <v>5.0030232389251985</v>
      </c>
      <c r="V247" s="5"/>
      <c r="Y247" s="493" t="s">
        <v>302</v>
      </c>
      <c r="Z247" s="493">
        <v>6.4000000000000012</v>
      </c>
      <c r="AA247" s="493">
        <v>6.0910000000000002</v>
      </c>
      <c r="AB247" s="493">
        <v>6.23</v>
      </c>
      <c r="AC247" s="493">
        <v>6.3</v>
      </c>
      <c r="AD247" s="493">
        <v>6.1267974837582679</v>
      </c>
      <c r="AE247" s="493">
        <v>5.0030232389251985</v>
      </c>
    </row>
    <row r="248" spans="2:31" x14ac:dyDescent="0.25">
      <c r="B248" s="4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264"/>
      <c r="N248" s="12"/>
      <c r="O248" s="12"/>
      <c r="P248" s="12"/>
      <c r="Q248" s="12"/>
      <c r="R248" s="12"/>
      <c r="S248" s="12"/>
      <c r="T248" s="12"/>
      <c r="U248" s="12"/>
      <c r="V248" s="5"/>
    </row>
    <row r="249" spans="2:31" x14ac:dyDescent="0.25">
      <c r="B249" s="7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268"/>
      <c r="N249" s="8"/>
      <c r="O249" s="8"/>
      <c r="P249" s="8"/>
      <c r="Q249" s="8"/>
      <c r="R249" s="8"/>
      <c r="S249" s="8"/>
      <c r="T249" s="8"/>
      <c r="U249" s="8"/>
      <c r="V249" s="9"/>
    </row>
    <row r="252" spans="2:31" x14ac:dyDescent="0.25">
      <c r="B252" t="s">
        <v>317</v>
      </c>
    </row>
    <row r="253" spans="2:31" x14ac:dyDescent="0.25">
      <c r="B253" s="15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263"/>
      <c r="N253" s="16"/>
      <c r="O253" s="16"/>
      <c r="P253" s="16"/>
      <c r="Q253" s="16"/>
      <c r="R253" s="16"/>
      <c r="S253" s="16"/>
      <c r="T253" s="16"/>
      <c r="U253" s="16"/>
      <c r="V253" s="3"/>
    </row>
    <row r="254" spans="2:31" x14ac:dyDescent="0.25">
      <c r="B254" s="4" t="s">
        <v>314</v>
      </c>
      <c r="C254" s="12" t="s">
        <v>308</v>
      </c>
      <c r="D254" s="12"/>
      <c r="E254" s="12"/>
      <c r="F254" s="12"/>
      <c r="G254" s="12"/>
      <c r="H254" s="12"/>
      <c r="I254" s="12"/>
      <c r="J254" s="12"/>
      <c r="K254" s="12"/>
      <c r="L254" s="12"/>
      <c r="M254" s="264">
        <f t="shared" ref="M254:U254" si="29">M31</f>
        <v>10.3</v>
      </c>
      <c r="N254" s="12">
        <f t="shared" si="29"/>
        <v>10.3</v>
      </c>
      <c r="O254" s="12">
        <f t="shared" si="29"/>
        <v>10.3</v>
      </c>
      <c r="P254" s="12">
        <f t="shared" si="29"/>
        <v>10.3</v>
      </c>
      <c r="Q254" s="12">
        <f t="shared" si="29"/>
        <v>10.3</v>
      </c>
      <c r="R254" s="12">
        <f t="shared" si="29"/>
        <v>10.3</v>
      </c>
      <c r="S254" s="12">
        <f t="shared" si="29"/>
        <v>10.3</v>
      </c>
      <c r="T254" s="12">
        <f t="shared" si="29"/>
        <v>10.3</v>
      </c>
      <c r="U254" s="12">
        <f t="shared" si="29"/>
        <v>10.3</v>
      </c>
      <c r="V254" s="5"/>
    </row>
    <row r="255" spans="2:31" x14ac:dyDescent="0.25">
      <c r="B255" s="4" t="s">
        <v>315</v>
      </c>
      <c r="C255" s="12" t="s">
        <v>308</v>
      </c>
      <c r="D255" s="12"/>
      <c r="E255" s="12"/>
      <c r="F255" s="12"/>
      <c r="G255" s="12"/>
      <c r="H255" s="12"/>
      <c r="I255" s="12"/>
      <c r="J255" s="12"/>
      <c r="K255" s="12"/>
      <c r="L255" s="12"/>
      <c r="M255" s="264">
        <f>M247</f>
        <v>6.94</v>
      </c>
      <c r="N255" s="12"/>
      <c r="O255" s="12"/>
      <c r="P255" s="12">
        <f t="shared" ref="P255:U255" si="30">P247</f>
        <v>6.4000000000000012</v>
      </c>
      <c r="Q255" s="12">
        <f t="shared" si="30"/>
        <v>6.0910000000000002</v>
      </c>
      <c r="R255" s="12">
        <f t="shared" si="30"/>
        <v>6.23</v>
      </c>
      <c r="S255" s="12">
        <f t="shared" si="30"/>
        <v>6.3</v>
      </c>
      <c r="T255" s="12">
        <f t="shared" si="30"/>
        <v>6.1267974837582679</v>
      </c>
      <c r="U255" s="12">
        <f t="shared" si="30"/>
        <v>5.0030232389251985</v>
      </c>
      <c r="V255" s="5"/>
    </row>
    <row r="256" spans="2:31" x14ac:dyDescent="0.25">
      <c r="B256" s="4" t="s">
        <v>237</v>
      </c>
      <c r="C256" s="12" t="s">
        <v>265</v>
      </c>
      <c r="D256" s="12"/>
      <c r="E256" s="12"/>
      <c r="F256" s="12"/>
      <c r="G256" s="12"/>
      <c r="H256" s="12"/>
      <c r="I256" s="12"/>
      <c r="J256" s="12"/>
      <c r="K256" s="12"/>
      <c r="L256" s="12"/>
      <c r="M256" s="267">
        <f>M255/M254</f>
        <v>0.67378640776699028</v>
      </c>
      <c r="N256" s="12"/>
      <c r="O256" s="12"/>
      <c r="P256" s="18">
        <f t="shared" ref="P256:U256" si="31">P255/P254</f>
        <v>0.62135922330097093</v>
      </c>
      <c r="Q256" s="18">
        <f t="shared" si="31"/>
        <v>0.5913592233009709</v>
      </c>
      <c r="R256" s="18">
        <f t="shared" si="31"/>
        <v>0.60485436893203881</v>
      </c>
      <c r="S256" s="18">
        <f t="shared" si="31"/>
        <v>0.61165048543689315</v>
      </c>
      <c r="T256" s="18">
        <f t="shared" si="31"/>
        <v>0.59483470716099685</v>
      </c>
      <c r="U256" s="18">
        <f t="shared" si="31"/>
        <v>0.48573041154613572</v>
      </c>
      <c r="V256" s="5"/>
      <c r="X256" t="s">
        <v>361</v>
      </c>
    </row>
    <row r="257" spans="2:22" x14ac:dyDescent="0.25">
      <c r="B257" s="4" t="s">
        <v>318</v>
      </c>
      <c r="C257" s="20" t="s">
        <v>319</v>
      </c>
      <c r="D257" s="12"/>
      <c r="E257" s="12"/>
      <c r="F257" s="12"/>
      <c r="G257" s="12"/>
      <c r="H257" s="12"/>
      <c r="I257" s="12"/>
      <c r="J257" s="12"/>
      <c r="K257" s="12"/>
      <c r="L257" s="12"/>
      <c r="M257" s="267">
        <f>(M242+M243+M244)/M255</f>
        <v>0.78674351585014402</v>
      </c>
      <c r="N257" s="18"/>
      <c r="O257" s="18"/>
      <c r="P257" s="18">
        <f t="shared" ref="P257:U257" si="32">(P242+P243+P244)/P255</f>
        <v>0.76593749999999983</v>
      </c>
      <c r="Q257" s="18">
        <f t="shared" si="32"/>
        <v>0.78328681661467736</v>
      </c>
      <c r="R257" s="18">
        <f t="shared" si="32"/>
        <v>0.7881219903691814</v>
      </c>
      <c r="S257" s="18">
        <f t="shared" si="32"/>
        <v>0.80825396825396834</v>
      </c>
      <c r="T257" s="18">
        <f t="shared" si="32"/>
        <v>0.80283337205084271</v>
      </c>
      <c r="U257" s="18">
        <f t="shared" si="32"/>
        <v>0.75854599462953642</v>
      </c>
      <c r="V257" s="5"/>
    </row>
    <row r="258" spans="2:22" x14ac:dyDescent="0.25">
      <c r="B258" s="4"/>
      <c r="C258" s="20"/>
      <c r="D258" s="12"/>
      <c r="E258" s="12"/>
      <c r="F258" s="12"/>
      <c r="G258" s="12"/>
      <c r="H258" s="12"/>
      <c r="I258" s="12"/>
      <c r="J258" s="12"/>
      <c r="K258" s="12"/>
      <c r="L258" s="12"/>
      <c r="M258" s="267"/>
      <c r="N258" s="18"/>
      <c r="O258" s="18"/>
      <c r="P258" s="18"/>
      <c r="Q258" s="18"/>
      <c r="R258" s="18"/>
      <c r="S258" s="18"/>
      <c r="T258" s="18"/>
      <c r="U258" s="18"/>
      <c r="V258" s="5"/>
    </row>
    <row r="259" spans="2:22" x14ac:dyDescent="0.25">
      <c r="B259" s="4" t="s">
        <v>316</v>
      </c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264"/>
      <c r="N259" s="12"/>
      <c r="O259" s="12"/>
      <c r="P259" s="12"/>
      <c r="Q259" s="12"/>
      <c r="R259" s="12"/>
      <c r="S259" s="12"/>
      <c r="T259" s="12"/>
      <c r="U259" s="12"/>
      <c r="V259" s="5"/>
    </row>
    <row r="260" spans="2:22" x14ac:dyDescent="0.25">
      <c r="B260" s="4" t="s">
        <v>24</v>
      </c>
      <c r="C260" s="12" t="s">
        <v>190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264">
        <f>M242+M245</f>
        <v>3.92</v>
      </c>
      <c r="N260" s="12"/>
      <c r="O260" s="12"/>
      <c r="P260" s="328">
        <f t="shared" ref="P260:U260" si="33">P242+P245</f>
        <v>3.3001891891891897</v>
      </c>
      <c r="Q260" s="328">
        <f t="shared" si="33"/>
        <v>3.1641891891891891</v>
      </c>
      <c r="R260" s="328">
        <f t="shared" si="33"/>
        <v>3.0330810810810807</v>
      </c>
      <c r="S260" s="328">
        <f t="shared" si="33"/>
        <v>3.2032972972972971</v>
      </c>
      <c r="T260" s="328">
        <f t="shared" si="33"/>
        <v>3.0300947810555652</v>
      </c>
      <c r="U260" s="328">
        <f t="shared" si="33"/>
        <v>3.0300947810555652</v>
      </c>
      <c r="V260" s="5"/>
    </row>
    <row r="261" spans="2:22" x14ac:dyDescent="0.25">
      <c r="B261" s="4" t="s">
        <v>1</v>
      </c>
      <c r="C261" s="12" t="s">
        <v>190</v>
      </c>
      <c r="D261" s="12"/>
      <c r="E261" s="12"/>
      <c r="F261" s="12"/>
      <c r="G261" s="12"/>
      <c r="H261" s="12"/>
      <c r="I261" s="12"/>
      <c r="J261" s="12"/>
      <c r="K261" s="12"/>
      <c r="L261" s="12"/>
      <c r="M261" s="264">
        <f>M243+M244+M246</f>
        <v>3.02</v>
      </c>
      <c r="N261" s="12"/>
      <c r="O261" s="12"/>
      <c r="P261" s="328">
        <f t="shared" ref="P261:U261" si="34">P243+P244+P246</f>
        <v>3.0998108108108111</v>
      </c>
      <c r="Q261" s="328">
        <f t="shared" si="34"/>
        <v>2.9268108108108111</v>
      </c>
      <c r="R261" s="328">
        <f t="shared" si="34"/>
        <v>3.1969189189189193</v>
      </c>
      <c r="S261" s="328">
        <f t="shared" si="34"/>
        <v>3.0967027027027023</v>
      </c>
      <c r="T261" s="328">
        <f t="shared" si="34"/>
        <v>3.0967027027027023</v>
      </c>
      <c r="U261" s="328">
        <f t="shared" si="34"/>
        <v>1.9729284578696338</v>
      </c>
      <c r="V261" s="5"/>
    </row>
    <row r="262" spans="2:22" x14ac:dyDescent="0.25">
      <c r="B262" s="4" t="s">
        <v>24</v>
      </c>
      <c r="C262" s="12" t="s">
        <v>265</v>
      </c>
      <c r="D262" s="12"/>
      <c r="E262" s="12"/>
      <c r="F262" s="12"/>
      <c r="G262" s="12"/>
      <c r="H262" s="12"/>
      <c r="I262" s="12"/>
      <c r="J262" s="12"/>
      <c r="K262" s="12"/>
      <c r="L262" s="12"/>
      <c r="M262" s="267">
        <f>M260/M255</f>
        <v>0.56484149855907773</v>
      </c>
      <c r="N262" s="12"/>
      <c r="O262" s="12"/>
      <c r="P262" s="18">
        <f t="shared" ref="P262:U262" si="35">P260/P255</f>
        <v>0.51565456081081074</v>
      </c>
      <c r="Q262" s="18">
        <f t="shared" si="35"/>
        <v>0.51948599395652417</v>
      </c>
      <c r="R262" s="18">
        <f t="shared" si="35"/>
        <v>0.48685089583965979</v>
      </c>
      <c r="S262" s="18">
        <f t="shared" si="35"/>
        <v>0.50845988845988843</v>
      </c>
      <c r="T262" s="18">
        <f t="shared" si="35"/>
        <v>0.49456421386346533</v>
      </c>
      <c r="U262" s="18">
        <f t="shared" si="35"/>
        <v>0.60565274961755355</v>
      </c>
      <c r="V262" s="5"/>
    </row>
    <row r="263" spans="2:22" x14ac:dyDescent="0.25">
      <c r="B263" s="4" t="s">
        <v>1</v>
      </c>
      <c r="C263" s="12" t="s">
        <v>265</v>
      </c>
      <c r="D263" s="12"/>
      <c r="E263" s="12"/>
      <c r="F263" s="12"/>
      <c r="G263" s="12"/>
      <c r="H263" s="12"/>
      <c r="I263" s="12"/>
      <c r="J263" s="12"/>
      <c r="K263" s="12"/>
      <c r="L263" s="12"/>
      <c r="M263" s="267">
        <f>1-M262</f>
        <v>0.43515850144092227</v>
      </c>
      <c r="N263" s="12"/>
      <c r="O263" s="12"/>
      <c r="P263" s="18">
        <f t="shared" ref="P263:U263" si="36">1-P262</f>
        <v>0.48434543918918926</v>
      </c>
      <c r="Q263" s="18">
        <f t="shared" si="36"/>
        <v>0.48051400604347583</v>
      </c>
      <c r="R263" s="18">
        <f t="shared" si="36"/>
        <v>0.51314910416034021</v>
      </c>
      <c r="S263" s="18">
        <f t="shared" si="36"/>
        <v>0.49154011154011157</v>
      </c>
      <c r="T263" s="18">
        <f t="shared" si="36"/>
        <v>0.50543578613653461</v>
      </c>
      <c r="U263" s="18">
        <f t="shared" si="36"/>
        <v>0.39434725038244645</v>
      </c>
      <c r="V263" s="5"/>
    </row>
    <row r="264" spans="2:22" x14ac:dyDescent="0.25">
      <c r="B264" s="4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264"/>
      <c r="N264" s="12"/>
      <c r="O264" s="12"/>
      <c r="P264" s="12"/>
      <c r="Q264" s="12"/>
      <c r="R264" s="12"/>
      <c r="S264" s="12"/>
      <c r="T264" s="12"/>
      <c r="U264" s="12"/>
      <c r="V264" s="5"/>
    </row>
    <row r="265" spans="2:22" x14ac:dyDescent="0.25">
      <c r="B265" s="4" t="s">
        <v>528</v>
      </c>
      <c r="C265" s="20" t="s">
        <v>265</v>
      </c>
      <c r="D265" s="12"/>
      <c r="E265" s="12"/>
      <c r="F265" s="12"/>
      <c r="G265" s="12"/>
      <c r="H265" s="12"/>
      <c r="I265" s="12"/>
      <c r="J265" s="12"/>
      <c r="K265" s="12"/>
      <c r="L265" s="12"/>
      <c r="M265" s="415">
        <f>M246/M247</f>
        <v>0.1239193083573487</v>
      </c>
      <c r="N265" s="416"/>
      <c r="O265" s="416"/>
      <c r="P265" s="417">
        <f t="shared" ref="P265:U265" si="37">P246/P247</f>
        <v>0.21281250000000002</v>
      </c>
      <c r="Q265" s="417">
        <f t="shared" si="37"/>
        <v>0.21671318338532264</v>
      </c>
      <c r="R265" s="417">
        <f t="shared" si="37"/>
        <v>0.21187800963081865</v>
      </c>
      <c r="S265" s="417">
        <f t="shared" si="37"/>
        <v>0.19174603174603164</v>
      </c>
      <c r="T265" s="418">
        <f t="shared" si="37"/>
        <v>0.19716662794915726</v>
      </c>
      <c r="U265" s="417">
        <f t="shared" si="37"/>
        <v>0.24145400537046363</v>
      </c>
      <c r="V265" s="5"/>
    </row>
    <row r="266" spans="2:22" x14ac:dyDescent="0.25">
      <c r="B266" s="7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268"/>
      <c r="N266" s="8"/>
      <c r="O266" s="8"/>
      <c r="P266" s="8"/>
      <c r="Q266" s="8"/>
      <c r="R266" s="8"/>
      <c r="S266" s="8"/>
      <c r="T266" s="8"/>
      <c r="U266" s="8"/>
      <c r="V266" s="9"/>
    </row>
  </sheetData>
  <mergeCells count="6">
    <mergeCell ref="N241:O241"/>
    <mergeCell ref="G9:J9"/>
    <mergeCell ref="B42:B48"/>
    <mergeCell ref="B50:B52"/>
    <mergeCell ref="B54:B56"/>
    <mergeCell ref="C42:C44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U128"/>
  <sheetViews>
    <sheetView topLeftCell="A88" zoomScaleNormal="100" workbookViewId="0">
      <selection activeCell="J77" sqref="J77"/>
    </sheetView>
  </sheetViews>
  <sheetFormatPr defaultRowHeight="15" x14ac:dyDescent="0.25"/>
  <cols>
    <col min="2" max="2" width="21.5703125" customWidth="1"/>
    <col min="3" max="3" width="12.28515625" customWidth="1"/>
    <col min="4" max="4" width="16.7109375" customWidth="1"/>
    <col min="5" max="5" width="14.5703125" customWidth="1"/>
    <col min="6" max="9" width="12.28515625" customWidth="1"/>
    <col min="10" max="12" width="9.28515625" bestFit="1" customWidth="1"/>
    <col min="13" max="14" width="10.5703125" bestFit="1" customWidth="1"/>
    <col min="17" max="17" width="11.85546875" customWidth="1"/>
  </cols>
  <sheetData>
    <row r="2" spans="1:15" x14ac:dyDescent="0.25">
      <c r="A2" s="136" t="s">
        <v>365</v>
      </c>
    </row>
    <row r="4" spans="1:15" x14ac:dyDescent="0.25">
      <c r="B4" s="136" t="s">
        <v>366</v>
      </c>
    </row>
    <row r="5" spans="1:15" x14ac:dyDescent="0.25">
      <c r="B5" s="15"/>
      <c r="C5" s="332" t="s">
        <v>331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3"/>
    </row>
    <row r="6" spans="1:15" x14ac:dyDescent="0.25">
      <c r="B6" s="4"/>
      <c r="C6" s="12" t="s">
        <v>323</v>
      </c>
      <c r="D6" s="12" t="s">
        <v>13</v>
      </c>
      <c r="E6" s="12" t="s">
        <v>11</v>
      </c>
      <c r="F6" s="12" t="s">
        <v>324</v>
      </c>
      <c r="G6" s="12" t="s">
        <v>325</v>
      </c>
      <c r="H6" s="12" t="s">
        <v>326</v>
      </c>
      <c r="I6" s="12" t="s">
        <v>154</v>
      </c>
      <c r="J6" s="12" t="s">
        <v>327</v>
      </c>
      <c r="K6" s="12" t="s">
        <v>328</v>
      </c>
      <c r="L6" s="12" t="s">
        <v>329</v>
      </c>
      <c r="M6" s="12" t="s">
        <v>14</v>
      </c>
      <c r="N6" s="12" t="s">
        <v>201</v>
      </c>
      <c r="O6" s="5"/>
    </row>
    <row r="7" spans="1:15" x14ac:dyDescent="0.25">
      <c r="B7" s="4" t="s">
        <v>330</v>
      </c>
      <c r="C7" s="1"/>
      <c r="D7" s="1">
        <v>-63050</v>
      </c>
      <c r="E7" s="1">
        <v>-35150</v>
      </c>
      <c r="F7" s="1"/>
      <c r="G7" s="1">
        <v>0</v>
      </c>
      <c r="H7" s="1">
        <v>0</v>
      </c>
      <c r="I7" s="1">
        <v>-201.19265336451983</v>
      </c>
      <c r="J7" s="1">
        <v>0</v>
      </c>
      <c r="K7" s="1">
        <v>0</v>
      </c>
      <c r="L7" s="1">
        <v>0</v>
      </c>
      <c r="M7" s="1">
        <v>-44505.504045599322</v>
      </c>
      <c r="N7" s="1">
        <v>-17888</v>
      </c>
      <c r="O7" s="5"/>
    </row>
    <row r="8" spans="1:15" x14ac:dyDescent="0.25">
      <c r="B8" s="4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5"/>
    </row>
    <row r="9" spans="1:15" x14ac:dyDescent="0.25">
      <c r="B9" s="7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9"/>
    </row>
    <row r="12" spans="1:15" x14ac:dyDescent="0.25">
      <c r="B12" s="136" t="s">
        <v>367</v>
      </c>
      <c r="C12" s="8"/>
    </row>
    <row r="13" spans="1:15" x14ac:dyDescent="0.25">
      <c r="B13" s="15"/>
      <c r="D13" s="16"/>
      <c r="E13" s="16"/>
      <c r="F13" s="16"/>
      <c r="G13" s="16"/>
      <c r="H13" s="16"/>
      <c r="I13" s="16"/>
      <c r="J13" s="16"/>
      <c r="K13" s="16"/>
      <c r="L13" s="16"/>
      <c r="M13" s="3"/>
    </row>
    <row r="14" spans="1:15" x14ac:dyDescent="0.25">
      <c r="B14" s="4" t="s">
        <v>417</v>
      </c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5"/>
    </row>
    <row r="15" spans="1:15" ht="15.75" x14ac:dyDescent="0.25">
      <c r="B15" s="4"/>
      <c r="C15" s="26" t="s">
        <v>7</v>
      </c>
      <c r="D15" s="26" t="s">
        <v>9</v>
      </c>
      <c r="E15" s="26" t="s">
        <v>48</v>
      </c>
      <c r="F15" s="26" t="s">
        <v>8</v>
      </c>
      <c r="G15" s="26" t="s">
        <v>173</v>
      </c>
      <c r="H15" s="26" t="s">
        <v>10</v>
      </c>
      <c r="I15" s="12"/>
      <c r="J15" s="12"/>
      <c r="K15" s="12"/>
      <c r="L15" s="12"/>
      <c r="M15" s="5"/>
    </row>
    <row r="16" spans="1:15" x14ac:dyDescent="0.25">
      <c r="B16" s="4" t="s">
        <v>13</v>
      </c>
      <c r="C16" s="294">
        <f>'Energy Intensity'!D36</f>
        <v>4.3302170790299686</v>
      </c>
      <c r="D16" s="294">
        <f>'Energy Intensity'!E36</f>
        <v>20.596584135938251</v>
      </c>
      <c r="E16" s="294">
        <f>'Energy Intensity'!F36</f>
        <v>0</v>
      </c>
      <c r="F16" s="294">
        <f>'Energy Intensity'!G36</f>
        <v>0</v>
      </c>
      <c r="G16" s="294">
        <f>'Energy Intensity'!H36</f>
        <v>17.2</v>
      </c>
      <c r="H16" s="294">
        <f>'Energy Intensity'!I36</f>
        <v>20.61</v>
      </c>
      <c r="I16" s="12"/>
      <c r="J16" s="12"/>
      <c r="K16" s="12"/>
      <c r="L16" s="12"/>
      <c r="M16" s="5"/>
    </row>
    <row r="17" spans="1:13" x14ac:dyDescent="0.25">
      <c r="B17" s="4" t="s">
        <v>11</v>
      </c>
      <c r="C17" s="294">
        <f>'Energy Intensity'!D37</f>
        <v>8.8757836125478331</v>
      </c>
      <c r="D17" s="294">
        <f>'Energy Intensity'!E37</f>
        <v>0</v>
      </c>
      <c r="E17" s="294">
        <f>'Energy Intensity'!F37</f>
        <v>0</v>
      </c>
      <c r="F17" s="294">
        <f>'Energy Intensity'!G37</f>
        <v>0</v>
      </c>
      <c r="G17" s="294">
        <f>'Energy Intensity'!H37</f>
        <v>2.6</v>
      </c>
      <c r="H17" s="294">
        <f>'Energy Intensity'!I37</f>
        <v>0</v>
      </c>
      <c r="I17" s="12"/>
      <c r="J17" s="12"/>
      <c r="K17" s="12"/>
      <c r="L17" s="12"/>
      <c r="M17" s="5"/>
    </row>
    <row r="18" spans="1:13" x14ac:dyDescent="0.25">
      <c r="B18" s="4" t="s">
        <v>14</v>
      </c>
      <c r="C18" s="294">
        <f>'Energy Intensity'!D38</f>
        <v>5.8326578025314344</v>
      </c>
      <c r="D18" s="294">
        <f>'Energy Intensity'!E38</f>
        <v>14.230367221193701</v>
      </c>
      <c r="E18" s="294">
        <f>'Energy Intensity'!F38</f>
        <v>0</v>
      </c>
      <c r="F18" s="294">
        <f>'Energy Intensity'!G38</f>
        <v>7.5</v>
      </c>
      <c r="G18" s="294">
        <f>'Energy Intensity'!H38</f>
        <v>4.3499999999999996</v>
      </c>
      <c r="H18" s="294">
        <f>'Energy Intensity'!I38</f>
        <v>20.61</v>
      </c>
      <c r="I18" s="12"/>
      <c r="J18" s="12"/>
      <c r="K18" s="12"/>
      <c r="L18" s="12"/>
      <c r="M18" s="5"/>
    </row>
    <row r="19" spans="1:13" x14ac:dyDescent="0.25">
      <c r="B19" s="4" t="s">
        <v>133</v>
      </c>
      <c r="C19" s="294">
        <f>'Energy Intensity'!D39</f>
        <v>6.2130485287834842</v>
      </c>
      <c r="D19" s="294">
        <f>'Energy Intensity'!E39</f>
        <v>2.2380324578113369</v>
      </c>
      <c r="E19" s="294">
        <f>'Energy Intensity'!F39</f>
        <v>0</v>
      </c>
      <c r="F19" s="294">
        <f>'Energy Intensity'!G39</f>
        <v>2.5</v>
      </c>
      <c r="G19" s="294">
        <f>'Energy Intensity'!H39</f>
        <v>0.91</v>
      </c>
      <c r="H19" s="294">
        <f>'Energy Intensity'!I39</f>
        <v>3.4349999999999996</v>
      </c>
      <c r="I19" s="12"/>
      <c r="J19" s="12"/>
      <c r="K19" s="12"/>
      <c r="L19" s="12"/>
      <c r="M19" s="5"/>
    </row>
    <row r="20" spans="1:13" x14ac:dyDescent="0.25">
      <c r="B20" s="4" t="s">
        <v>134</v>
      </c>
      <c r="C20" s="294">
        <f>'Energy Intensity'!D40</f>
        <v>0.12679690875068336</v>
      </c>
      <c r="D20" s="294">
        <f>'Energy Intensity'!E40</f>
        <v>0.37448334792615001</v>
      </c>
      <c r="E20" s="294">
        <f>'Energy Intensity'!F40</f>
        <v>0</v>
      </c>
      <c r="F20" s="294">
        <f>'Energy Intensity'!G40</f>
        <v>0</v>
      </c>
      <c r="G20" s="294">
        <f>'Energy Intensity'!H40</f>
        <v>0</v>
      </c>
      <c r="H20" s="294">
        <f>'Energy Intensity'!I40</f>
        <v>1.145</v>
      </c>
      <c r="I20" s="12"/>
      <c r="J20" s="12"/>
      <c r="K20" s="12"/>
      <c r="L20" s="12"/>
      <c r="M20" s="5"/>
    </row>
    <row r="21" spans="1:13" x14ac:dyDescent="0.25">
      <c r="B21" s="4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5"/>
    </row>
    <row r="22" spans="1:13" x14ac:dyDescent="0.25">
      <c r="B22" s="7"/>
      <c r="C22" s="8"/>
      <c r="D22" s="8"/>
      <c r="E22" s="8"/>
      <c r="F22" s="8"/>
      <c r="G22" s="8"/>
      <c r="H22" s="8"/>
      <c r="I22" s="8"/>
      <c r="J22" s="8"/>
      <c r="K22" s="8"/>
      <c r="L22" s="8"/>
      <c r="M22" s="9"/>
    </row>
    <row r="24" spans="1:13" x14ac:dyDescent="0.25">
      <c r="A24" s="136">
        <v>2012</v>
      </c>
      <c r="B24" s="136" t="s">
        <v>5</v>
      </c>
    </row>
    <row r="25" spans="1:13" x14ac:dyDescent="0.25">
      <c r="B25" t="s">
        <v>190</v>
      </c>
      <c r="C25">
        <f>SUMIFS('I&amp;S capacity + production'!$M$242:$M$246,'I&amp;S capacity + production'!$B$242:$B$246,C15)</f>
        <v>3.3</v>
      </c>
      <c r="D25">
        <f>SUMIFS('I&amp;S capacity + production'!$M$242:$M$246,'I&amp;S capacity + production'!$B$242:$B$246,D15)</f>
        <v>0.95</v>
      </c>
      <c r="E25">
        <f>SUMIFS('I&amp;S capacity + production'!$M$242:$M$246,'I&amp;S capacity + production'!$B$242:$B$246,E15)</f>
        <v>0</v>
      </c>
      <c r="F25">
        <f>SUMIFS('I&amp;S capacity + production'!$M$242:$M$246,'I&amp;S capacity + production'!$B$242:$B$246,F15)</f>
        <v>0.86</v>
      </c>
      <c r="G25">
        <f>SUMIFS('I&amp;S capacity + production'!$M$242:$M$246,'I&amp;S capacity + production'!$B$242:$B$246,G15)</f>
        <v>1.21</v>
      </c>
      <c r="H25">
        <f>SUMIFS('I&amp;S capacity + production'!$M$242:$M$246,'I&amp;S capacity + production'!$B$242:$B$246,H15)</f>
        <v>0.62</v>
      </c>
    </row>
    <row r="27" spans="1:13" x14ac:dyDescent="0.25">
      <c r="B27" s="136" t="s">
        <v>369</v>
      </c>
    </row>
    <row r="28" spans="1:13" x14ac:dyDescent="0.25">
      <c r="J28" t="s">
        <v>143</v>
      </c>
    </row>
    <row r="29" spans="1:13" x14ac:dyDescent="0.25">
      <c r="B29" t="str">
        <f>B16</f>
        <v>Coal</v>
      </c>
      <c r="C29" s="342">
        <f t="shared" ref="C29:H29" si="0">C16*C$25</f>
        <v>14.289716360798895</v>
      </c>
      <c r="D29" s="342">
        <f t="shared" si="0"/>
        <v>19.566754929141336</v>
      </c>
      <c r="E29" s="342">
        <f t="shared" si="0"/>
        <v>0</v>
      </c>
      <c r="F29" s="342">
        <f t="shared" si="0"/>
        <v>0</v>
      </c>
      <c r="G29" s="342">
        <f t="shared" si="0"/>
        <v>20.811999999999998</v>
      </c>
      <c r="H29" s="342">
        <f t="shared" si="0"/>
        <v>12.7782</v>
      </c>
      <c r="J29" s="345">
        <f>SUM(C29:H29)</f>
        <v>67.446671289940227</v>
      </c>
      <c r="K29" s="349"/>
    </row>
    <row r="30" spans="1:13" x14ac:dyDescent="0.25">
      <c r="B30" t="str">
        <f>B17</f>
        <v>Coke</v>
      </c>
      <c r="C30" s="342">
        <f t="shared" ref="C30:H33" si="1">C17*C$25</f>
        <v>29.290085921407847</v>
      </c>
      <c r="D30" s="342">
        <f t="shared" si="1"/>
        <v>0</v>
      </c>
      <c r="E30" s="342">
        <f t="shared" si="1"/>
        <v>0</v>
      </c>
      <c r="F30" s="342">
        <f t="shared" si="1"/>
        <v>0</v>
      </c>
      <c r="G30" s="342">
        <f t="shared" si="1"/>
        <v>3.1459999999999999</v>
      </c>
      <c r="H30" s="342">
        <f t="shared" si="1"/>
        <v>0</v>
      </c>
      <c r="J30" s="345">
        <f>SUM(C30:H30)</f>
        <v>32.436085921407845</v>
      </c>
      <c r="K30" s="349"/>
    </row>
    <row r="31" spans="1:13" x14ac:dyDescent="0.25">
      <c r="B31" t="str">
        <f>B18</f>
        <v>Electricity</v>
      </c>
      <c r="C31" s="342">
        <f t="shared" si="1"/>
        <v>19.247770748353734</v>
      </c>
      <c r="D31" s="342">
        <f t="shared" si="1"/>
        <v>13.518848860134016</v>
      </c>
      <c r="E31" s="342">
        <f t="shared" si="1"/>
        <v>0</v>
      </c>
      <c r="F31" s="342">
        <f t="shared" si="1"/>
        <v>6.45</v>
      </c>
      <c r="G31" s="342">
        <f t="shared" si="1"/>
        <v>5.2634999999999996</v>
      </c>
      <c r="H31" s="342">
        <f t="shared" si="1"/>
        <v>12.7782</v>
      </c>
      <c r="J31" s="345">
        <f>SUM(C31:H31)</f>
        <v>57.258319608487753</v>
      </c>
      <c r="K31" s="349"/>
    </row>
    <row r="32" spans="1:13" x14ac:dyDescent="0.25">
      <c r="B32" t="str">
        <f>B19</f>
        <v>Natural gas</v>
      </c>
      <c r="C32" s="342">
        <f t="shared" si="1"/>
        <v>20.503060144985497</v>
      </c>
      <c r="D32" s="342">
        <f>D19*D$25</f>
        <v>2.1261308349207697</v>
      </c>
      <c r="E32" s="342">
        <f t="shared" si="1"/>
        <v>0</v>
      </c>
      <c r="F32" s="342">
        <f t="shared" si="1"/>
        <v>2.15</v>
      </c>
      <c r="G32" s="342">
        <f t="shared" si="1"/>
        <v>1.1011</v>
      </c>
      <c r="H32" s="342">
        <f t="shared" si="1"/>
        <v>2.1296999999999997</v>
      </c>
      <c r="J32" s="345">
        <f>SUM(C32:H32)</f>
        <v>28.009990979906263</v>
      </c>
      <c r="K32" s="349"/>
    </row>
    <row r="33" spans="1:13" x14ac:dyDescent="0.25">
      <c r="B33" t="str">
        <f>B20</f>
        <v>Oil</v>
      </c>
      <c r="C33" s="342">
        <f t="shared" si="1"/>
        <v>0.41842979887725507</v>
      </c>
      <c r="D33" s="342">
        <f t="shared" si="1"/>
        <v>0.35575918052984251</v>
      </c>
      <c r="E33" s="342">
        <f t="shared" si="1"/>
        <v>0</v>
      </c>
      <c r="F33" s="342">
        <f t="shared" si="1"/>
        <v>0</v>
      </c>
      <c r="G33" s="342">
        <f t="shared" si="1"/>
        <v>0</v>
      </c>
      <c r="H33" s="342">
        <f t="shared" si="1"/>
        <v>0.70989999999999998</v>
      </c>
      <c r="J33" s="345">
        <f>SUM(C33:H33)</f>
        <v>1.4840889794070975</v>
      </c>
      <c r="K33" s="349"/>
    </row>
    <row r="35" spans="1:13" x14ac:dyDescent="0.25">
      <c r="B35" s="350" t="s">
        <v>368</v>
      </c>
      <c r="C35" s="348">
        <f>SUM(C29:C33)</f>
        <v>83.749062974423225</v>
      </c>
      <c r="D35" s="348">
        <f t="shared" ref="D35:J35" si="2">SUM(D29:D33)</f>
        <v>35.56749380472597</v>
      </c>
      <c r="E35" s="348">
        <f t="shared" si="2"/>
        <v>0</v>
      </c>
      <c r="F35" s="348">
        <f t="shared" si="2"/>
        <v>8.6</v>
      </c>
      <c r="G35" s="348">
        <f t="shared" si="2"/>
        <v>30.322599999999998</v>
      </c>
      <c r="H35" s="348">
        <f t="shared" si="2"/>
        <v>28.396000000000001</v>
      </c>
      <c r="J35" s="345">
        <f t="shared" si="2"/>
        <v>186.63515677914916</v>
      </c>
      <c r="K35" s="345"/>
    </row>
    <row r="37" spans="1:13" x14ac:dyDescent="0.25">
      <c r="A37">
        <v>2012</v>
      </c>
      <c r="B37" s="136" t="s">
        <v>420</v>
      </c>
    </row>
    <row r="38" spans="1:13" x14ac:dyDescent="0.25">
      <c r="B38" s="381" t="s">
        <v>418</v>
      </c>
      <c r="C38" s="382">
        <f>SUMIFS('I&amp;S capacity + production'!$R$242:$R$246,'I&amp;S capacity + production'!$B$242:$B$246,C15)</f>
        <v>3.0330810810810807</v>
      </c>
      <c r="D38" s="382">
        <f>SUMIFS('I&amp;S capacity + production'!$R$242:$R$246,'I&amp;S capacity + production'!$B$242:$B$246,D15)</f>
        <v>0.75891891891891894</v>
      </c>
      <c r="E38" s="382">
        <f>SUMIFS('I&amp;S capacity + production'!$R$242:$R$246,'I&amp;S capacity + production'!$B$242:$B$246,E15)</f>
        <v>0</v>
      </c>
      <c r="F38" s="382">
        <f>SUMIFS('I&amp;S capacity + production'!$R$242:$R$246,'I&amp;S capacity + production'!$B$242:$B$246,F15)</f>
        <v>1.3200000000000003</v>
      </c>
      <c r="G38" s="382">
        <f>SUMIFS('I&amp;S capacity + production'!$R$242:$R$246,'I&amp;S capacity + production'!$B$242:$B$246,G15)</f>
        <v>1.1180000000000001</v>
      </c>
      <c r="H38" s="382">
        <f>SUMIFS('I&amp;S capacity + production'!$R$242:$R$246,'I&amp;S capacity + production'!$B$242:$B$246,H15)</f>
        <v>0</v>
      </c>
      <c r="I38" s="16"/>
      <c r="J38" s="3"/>
    </row>
    <row r="39" spans="1:13" x14ac:dyDescent="0.25">
      <c r="B39" s="4"/>
      <c r="C39" s="12"/>
      <c r="D39" s="12"/>
      <c r="E39" s="12"/>
      <c r="F39" s="12"/>
      <c r="G39" s="12"/>
      <c r="H39" s="12"/>
      <c r="I39" s="12"/>
      <c r="J39" s="5"/>
    </row>
    <row r="40" spans="1:13" x14ac:dyDescent="0.25">
      <c r="B40" s="4" t="str">
        <f>B29</f>
        <v>Coal</v>
      </c>
      <c r="C40" s="378">
        <f t="shared" ref="C40:H40" si="3">C16*C$38</f>
        <v>13.133899499379977</v>
      </c>
      <c r="D40" s="378">
        <f t="shared" si="3"/>
        <v>15.631137365868813</v>
      </c>
      <c r="E40" s="378">
        <f t="shared" si="3"/>
        <v>0</v>
      </c>
      <c r="F40" s="378">
        <f t="shared" si="3"/>
        <v>0</v>
      </c>
      <c r="G40" s="378">
        <f t="shared" si="3"/>
        <v>19.229600000000001</v>
      </c>
      <c r="H40" s="378">
        <f t="shared" si="3"/>
        <v>0</v>
      </c>
      <c r="I40" s="12"/>
      <c r="J40" s="379">
        <f>SUM(C40:H40)</f>
        <v>47.994636865248793</v>
      </c>
    </row>
    <row r="41" spans="1:13" x14ac:dyDescent="0.25">
      <c r="B41" s="4" t="str">
        <f>B30</f>
        <v>Coke</v>
      </c>
      <c r="C41" s="378">
        <f t="shared" ref="C41:H41" si="4">C17*C$38</f>
        <v>26.920971354988321</v>
      </c>
      <c r="D41" s="378">
        <f t="shared" si="4"/>
        <v>0</v>
      </c>
      <c r="E41" s="378">
        <f t="shared" si="4"/>
        <v>0</v>
      </c>
      <c r="F41" s="378">
        <f t="shared" si="4"/>
        <v>0</v>
      </c>
      <c r="G41" s="378">
        <f t="shared" si="4"/>
        <v>2.9068000000000005</v>
      </c>
      <c r="H41" s="378">
        <f t="shared" si="4"/>
        <v>0</v>
      </c>
      <c r="I41" s="12"/>
      <c r="J41" s="379">
        <f>SUM(C41:H41)</f>
        <v>29.827771354988322</v>
      </c>
    </row>
    <row r="42" spans="1:13" x14ac:dyDescent="0.25">
      <c r="B42" s="4" t="str">
        <f>B31</f>
        <v>Electricity</v>
      </c>
      <c r="C42" s="378">
        <f t="shared" ref="C42:H42" si="5">C18*C$38</f>
        <v>17.690924033278044</v>
      </c>
      <c r="D42" s="378">
        <f t="shared" si="5"/>
        <v>10.799694907327543</v>
      </c>
      <c r="E42" s="378">
        <f t="shared" si="5"/>
        <v>0</v>
      </c>
      <c r="F42" s="378">
        <f t="shared" si="5"/>
        <v>9.9000000000000021</v>
      </c>
      <c r="G42" s="378">
        <f t="shared" si="5"/>
        <v>4.8632999999999997</v>
      </c>
      <c r="H42" s="378">
        <f t="shared" si="5"/>
        <v>0</v>
      </c>
      <c r="I42" s="12"/>
      <c r="J42" s="379">
        <f>SUM(C42:H42)</f>
        <v>43.253918940605594</v>
      </c>
      <c r="L42" s="349">
        <f>J42/3.6</f>
        <v>12.014977483501553</v>
      </c>
      <c r="M42" t="s">
        <v>436</v>
      </c>
    </row>
    <row r="43" spans="1:13" x14ac:dyDescent="0.25">
      <c r="B43" s="4" t="str">
        <f>B32</f>
        <v>Natural gas</v>
      </c>
      <c r="C43" s="378">
        <f t="shared" ref="C43:H43" si="6">C19*C$38</f>
        <v>18.844679948491827</v>
      </c>
      <c r="D43" s="378">
        <f t="shared" si="6"/>
        <v>1.6984851733876307</v>
      </c>
      <c r="E43" s="378">
        <f t="shared" si="6"/>
        <v>0</v>
      </c>
      <c r="F43" s="378">
        <f t="shared" si="6"/>
        <v>3.3000000000000007</v>
      </c>
      <c r="G43" s="378">
        <f t="shared" si="6"/>
        <v>1.0173800000000002</v>
      </c>
      <c r="H43" s="378">
        <f t="shared" si="6"/>
        <v>0</v>
      </c>
      <c r="I43" s="12"/>
      <c r="J43" s="379">
        <f>SUM(C43:H43)</f>
        <v>24.860545121879458</v>
      </c>
    </row>
    <row r="44" spans="1:13" x14ac:dyDescent="0.25">
      <c r="B44" s="4" t="str">
        <f>B33</f>
        <v>Oil</v>
      </c>
      <c r="C44" s="378">
        <f t="shared" ref="C44:H44" si="7">C20*C$38</f>
        <v>0.38458530507126182</v>
      </c>
      <c r="D44" s="378">
        <f t="shared" si="7"/>
        <v>0.28420249756125116</v>
      </c>
      <c r="E44" s="378">
        <f t="shared" si="7"/>
        <v>0</v>
      </c>
      <c r="F44" s="378">
        <f t="shared" si="7"/>
        <v>0</v>
      </c>
      <c r="G44" s="378">
        <f t="shared" si="7"/>
        <v>0</v>
      </c>
      <c r="H44" s="378">
        <f t="shared" si="7"/>
        <v>0</v>
      </c>
      <c r="I44" s="12"/>
      <c r="J44" s="379">
        <f>SUM(C44:H44)</f>
        <v>0.66878780263251292</v>
      </c>
    </row>
    <row r="45" spans="1:13" x14ac:dyDescent="0.25">
      <c r="B45" s="4"/>
      <c r="C45" s="12"/>
      <c r="D45" s="12"/>
      <c r="E45" s="12"/>
      <c r="F45" s="12"/>
      <c r="G45" s="12"/>
      <c r="H45" s="12"/>
      <c r="I45" s="12"/>
      <c r="J45" s="5"/>
    </row>
    <row r="46" spans="1:13" x14ac:dyDescent="0.25">
      <c r="B46" s="7"/>
      <c r="C46" s="8"/>
      <c r="D46" s="8"/>
      <c r="E46" s="8"/>
      <c r="F46" s="8"/>
      <c r="G46" s="8"/>
      <c r="H46" s="8"/>
      <c r="I46" s="11" t="s">
        <v>419</v>
      </c>
      <c r="J46" s="380">
        <f>SUM(J40:J44)</f>
        <v>146.60566008535469</v>
      </c>
    </row>
    <row r="49" spans="1:11" x14ac:dyDescent="0.25">
      <c r="A49" s="136">
        <v>2017</v>
      </c>
      <c r="B49" s="136" t="s">
        <v>5</v>
      </c>
    </row>
    <row r="50" spans="1:11" x14ac:dyDescent="0.25">
      <c r="B50" t="s">
        <v>190</v>
      </c>
      <c r="C50">
        <f>SUMIFS('I&amp;S capacity + production'!$P$242:$P$246,'I&amp;S capacity + production'!$B$242:$B$246,C15)</f>
        <v>3.1641891891891891</v>
      </c>
      <c r="D50">
        <f>SUMIFS('I&amp;S capacity + production'!$P$242:$P$246,'I&amp;S capacity + production'!$B$242:$B$246,D15)</f>
        <v>0.77481081081081082</v>
      </c>
      <c r="E50">
        <f>SUMIFS('I&amp;S capacity + production'!$P$242:$P$246,'I&amp;S capacity + production'!$B$242:$B$246,E15)</f>
        <v>0</v>
      </c>
      <c r="F50">
        <f>SUMIFS('I&amp;S capacity + production'!$P$242:$P$246,'I&amp;S capacity + production'!$B$242:$B$246,F15)</f>
        <v>1.3620000000000003</v>
      </c>
      <c r="G50">
        <f>SUMIFS('I&amp;S capacity + production'!$P$242:$P$246,'I&amp;S capacity + production'!$B$242:$B$246,G15)</f>
        <v>0.96299999999999997</v>
      </c>
      <c r="H50">
        <f>SUMIFS('I&amp;S capacity + production'!$P$242:$P$246,'I&amp;S capacity + production'!$B$242:$B$246,H15)</f>
        <v>0.1360000000000007</v>
      </c>
    </row>
    <row r="52" spans="1:11" x14ac:dyDescent="0.25">
      <c r="B52" s="136" t="s">
        <v>369</v>
      </c>
    </row>
    <row r="53" spans="1:11" x14ac:dyDescent="0.25">
      <c r="J53" t="s">
        <v>143</v>
      </c>
    </row>
    <row r="54" spans="1:11" x14ac:dyDescent="0.25">
      <c r="B54" t="str">
        <f>B41</f>
        <v>Coke</v>
      </c>
      <c r="C54" s="342">
        <f t="shared" ref="C54:H54" si="8">C17*C$50</f>
        <v>28.08465855240642</v>
      </c>
      <c r="D54" s="342">
        <f t="shared" si="8"/>
        <v>0</v>
      </c>
      <c r="E54" s="342">
        <f t="shared" si="8"/>
        <v>0</v>
      </c>
      <c r="F54" s="342">
        <f t="shared" si="8"/>
        <v>0</v>
      </c>
      <c r="G54" s="342">
        <f t="shared" si="8"/>
        <v>2.5038</v>
      </c>
      <c r="H54" s="342">
        <f t="shared" si="8"/>
        <v>0</v>
      </c>
      <c r="J54" s="345">
        <f>SUM(C54:H54)</f>
        <v>30.588458552406422</v>
      </c>
      <c r="K54" s="349"/>
    </row>
    <row r="55" spans="1:11" x14ac:dyDescent="0.25">
      <c r="B55" t="str">
        <f>B42</f>
        <v>Electricity</v>
      </c>
      <c r="C55" s="342">
        <f>C18*C$50</f>
        <v>18.455632763009937</v>
      </c>
      <c r="D55" s="342">
        <f t="shared" ref="C55:H57" si="9">D18*D$50</f>
        <v>11.025842364788677</v>
      </c>
      <c r="E55" s="342">
        <f t="shared" si="9"/>
        <v>0</v>
      </c>
      <c r="F55" s="342">
        <f t="shared" si="9"/>
        <v>10.215000000000002</v>
      </c>
      <c r="G55" s="342">
        <f t="shared" si="9"/>
        <v>4.1890499999999999</v>
      </c>
      <c r="H55" s="342">
        <f t="shared" si="9"/>
        <v>2.8029600000000143</v>
      </c>
      <c r="J55" s="345">
        <f>SUM(C55:H55)</f>
        <v>46.688485127798629</v>
      </c>
      <c r="K55" s="349"/>
    </row>
    <row r="56" spans="1:11" x14ac:dyDescent="0.25">
      <c r="B56" t="str">
        <f>B43</f>
        <v>Natural gas</v>
      </c>
      <c r="C56" s="342">
        <f t="shared" si="9"/>
        <v>19.659260986684497</v>
      </c>
      <c r="D56" s="342">
        <f t="shared" si="9"/>
        <v>1.7340517432577136</v>
      </c>
      <c r="E56" s="342">
        <f t="shared" si="9"/>
        <v>0</v>
      </c>
      <c r="F56" s="342">
        <f t="shared" si="9"/>
        <v>3.4050000000000007</v>
      </c>
      <c r="G56" s="342">
        <f t="shared" si="9"/>
        <v>0.87633000000000005</v>
      </c>
      <c r="H56" s="342">
        <f t="shared" si="9"/>
        <v>0.46716000000000235</v>
      </c>
      <c r="J56" s="345">
        <f>SUM(C56:H56)</f>
        <v>26.141802729942214</v>
      </c>
      <c r="K56" s="349"/>
    </row>
    <row r="57" spans="1:11" x14ac:dyDescent="0.25">
      <c r="B57" t="str">
        <f>B44</f>
        <v>Oil</v>
      </c>
      <c r="C57" s="342">
        <f t="shared" si="9"/>
        <v>0.40120940789152038</v>
      </c>
      <c r="D57" s="342">
        <f t="shared" si="9"/>
        <v>0.29015374644180725</v>
      </c>
      <c r="E57" s="342">
        <f t="shared" si="9"/>
        <v>0</v>
      </c>
      <c r="F57" s="342">
        <f t="shared" si="9"/>
        <v>0</v>
      </c>
      <c r="G57" s="342">
        <f t="shared" si="9"/>
        <v>0</v>
      </c>
      <c r="H57" s="342">
        <f t="shared" si="9"/>
        <v>0.1557200000000008</v>
      </c>
      <c r="J57" s="383">
        <f>SUM(C57:H57)</f>
        <v>0.84708315433332837</v>
      </c>
      <c r="K57" s="349"/>
    </row>
    <row r="58" spans="1:11" x14ac:dyDescent="0.25">
      <c r="B58">
        <f>B45</f>
        <v>0</v>
      </c>
      <c r="C58" s="342">
        <f t="shared" ref="C58:H58" si="10">C45*C$25</f>
        <v>0</v>
      </c>
      <c r="D58" s="342">
        <f t="shared" si="10"/>
        <v>0</v>
      </c>
      <c r="E58" s="342">
        <f t="shared" si="10"/>
        <v>0</v>
      </c>
      <c r="F58" s="342">
        <f t="shared" si="10"/>
        <v>0</v>
      </c>
      <c r="G58" s="342">
        <f t="shared" si="10"/>
        <v>0</v>
      </c>
      <c r="H58" s="342">
        <f t="shared" si="10"/>
        <v>0</v>
      </c>
      <c r="J58" s="345">
        <f>SUM(C58:H58)</f>
        <v>0</v>
      </c>
      <c r="K58" s="349"/>
    </row>
    <row r="60" spans="1:11" x14ac:dyDescent="0.25">
      <c r="B60" s="350" t="s">
        <v>368</v>
      </c>
      <c r="C60" s="348">
        <f t="shared" ref="C60:H60" si="11">SUM(C54:C58)</f>
        <v>66.600761709992369</v>
      </c>
      <c r="D60" s="348">
        <f t="shared" si="11"/>
        <v>13.050047854488199</v>
      </c>
      <c r="E60" s="348">
        <f t="shared" si="11"/>
        <v>0</v>
      </c>
      <c r="F60" s="348">
        <f t="shared" si="11"/>
        <v>13.620000000000003</v>
      </c>
      <c r="G60" s="348">
        <f t="shared" si="11"/>
        <v>7.5691800000000002</v>
      </c>
      <c r="H60" s="348">
        <f t="shared" si="11"/>
        <v>3.4258400000000178</v>
      </c>
      <c r="J60" s="345">
        <f>SUM(J54:J58)</f>
        <v>104.2658295644806</v>
      </c>
      <c r="K60" s="345"/>
    </row>
    <row r="62" spans="1:11" x14ac:dyDescent="0.25">
      <c r="A62">
        <v>2012</v>
      </c>
      <c r="B62" s="136" t="s">
        <v>420</v>
      </c>
    </row>
    <row r="63" spans="1:11" x14ac:dyDescent="0.25">
      <c r="B63" s="381" t="s">
        <v>418</v>
      </c>
      <c r="C63" s="382">
        <f>SUMIFS('I&amp;S capacity + production'!$R$242:$R$246,'I&amp;S capacity + production'!$B$242:$B$246,C40)</f>
        <v>0</v>
      </c>
      <c r="D63" s="382">
        <f>SUMIFS('I&amp;S capacity + production'!$R$242:$R$246,'I&amp;S capacity + production'!$B$242:$B$246,D40)</f>
        <v>0</v>
      </c>
      <c r="E63" s="382">
        <f>SUMIFS('I&amp;S capacity + production'!$R$242:$R$246,'I&amp;S capacity + production'!$B$242:$B$246,E40)</f>
        <v>0</v>
      </c>
      <c r="F63" s="382">
        <f>SUMIFS('I&amp;S capacity + production'!$R$242:$R$246,'I&amp;S capacity + production'!$B$242:$B$246,F40)</f>
        <v>0</v>
      </c>
      <c r="G63" s="382">
        <f>SUMIFS('I&amp;S capacity + production'!$R$242:$R$246,'I&amp;S capacity + production'!$B$242:$B$246,G40)</f>
        <v>0</v>
      </c>
      <c r="H63" s="382">
        <f>SUMIFS('I&amp;S capacity + production'!$R$242:$R$246,'I&amp;S capacity + production'!$B$242:$B$246,H40)</f>
        <v>0</v>
      </c>
      <c r="I63" s="16"/>
      <c r="J63" s="3"/>
    </row>
    <row r="64" spans="1:11" x14ac:dyDescent="0.25">
      <c r="B64" s="4"/>
      <c r="C64" s="12"/>
      <c r="D64" s="12"/>
      <c r="E64" s="12"/>
      <c r="F64" s="12"/>
      <c r="G64" s="12"/>
      <c r="H64" s="12"/>
      <c r="I64" s="12"/>
      <c r="J64" s="5"/>
    </row>
    <row r="65" spans="1:19" x14ac:dyDescent="0.25">
      <c r="B65" s="4" t="str">
        <f>B54</f>
        <v>Coke</v>
      </c>
      <c r="C65" s="378">
        <f t="shared" ref="C65:H65" si="12">C41*C$38</f>
        <v>81.653488901140776</v>
      </c>
      <c r="D65" s="378">
        <f t="shared" si="12"/>
        <v>0</v>
      </c>
      <c r="E65" s="378">
        <f t="shared" si="12"/>
        <v>0</v>
      </c>
      <c r="F65" s="378">
        <f t="shared" si="12"/>
        <v>0</v>
      </c>
      <c r="G65" s="378">
        <f t="shared" si="12"/>
        <v>3.249802400000001</v>
      </c>
      <c r="H65" s="378">
        <f t="shared" si="12"/>
        <v>0</v>
      </c>
      <c r="I65" s="12"/>
      <c r="J65" s="379">
        <f>SUM(C65:H65)</f>
        <v>84.903291301140783</v>
      </c>
    </row>
    <row r="66" spans="1:19" x14ac:dyDescent="0.25">
      <c r="B66" s="4" t="str">
        <f>B55</f>
        <v>Electricity</v>
      </c>
      <c r="C66" s="378">
        <f t="shared" ref="C66:H66" si="13">C42*C$38</f>
        <v>53.658006992178244</v>
      </c>
      <c r="D66" s="378">
        <f t="shared" si="13"/>
        <v>8.1960927837231736</v>
      </c>
      <c r="E66" s="378">
        <f t="shared" si="13"/>
        <v>0</v>
      </c>
      <c r="F66" s="378">
        <f t="shared" si="13"/>
        <v>13.068000000000005</v>
      </c>
      <c r="G66" s="378">
        <f t="shared" si="13"/>
        <v>5.4371694000000002</v>
      </c>
      <c r="H66" s="378">
        <f t="shared" si="13"/>
        <v>0</v>
      </c>
      <c r="I66" s="12"/>
      <c r="J66" s="379">
        <f>SUM(C66:H66)</f>
        <v>80.359269175901417</v>
      </c>
    </row>
    <row r="67" spans="1:19" x14ac:dyDescent="0.25">
      <c r="B67" s="4" t="str">
        <f>B56</f>
        <v>Natural gas</v>
      </c>
      <c r="C67" s="378">
        <f t="shared" ref="C67:H67" si="14">C43*C$38</f>
        <v>57.157442230798551</v>
      </c>
      <c r="D67" s="378">
        <f t="shared" si="14"/>
        <v>1.2890125315871532</v>
      </c>
      <c r="E67" s="378">
        <f t="shared" si="14"/>
        <v>0</v>
      </c>
      <c r="F67" s="378">
        <f t="shared" si="14"/>
        <v>4.3560000000000016</v>
      </c>
      <c r="G67" s="378">
        <f t="shared" si="14"/>
        <v>1.1374308400000004</v>
      </c>
      <c r="H67" s="378">
        <f t="shared" si="14"/>
        <v>0</v>
      </c>
      <c r="I67" s="12"/>
      <c r="J67" s="379">
        <f>SUM(C67:H67)</f>
        <v>63.939885602385708</v>
      </c>
      <c r="L67" s="349">
        <f>J67/3.6</f>
        <v>17.76107933399603</v>
      </c>
      <c r="M67" t="s">
        <v>436</v>
      </c>
    </row>
    <row r="68" spans="1:19" x14ac:dyDescent="0.25">
      <c r="B68" s="4" t="str">
        <f>B57</f>
        <v>Oil</v>
      </c>
      <c r="C68" s="378">
        <f t="shared" ref="C68:H68" si="15">C44*C$38</f>
        <v>1.16647841287344</v>
      </c>
      <c r="D68" s="378">
        <f t="shared" si="15"/>
        <v>0.21568665220324143</v>
      </c>
      <c r="E68" s="378">
        <f t="shared" si="15"/>
        <v>0</v>
      </c>
      <c r="F68" s="378">
        <f t="shared" si="15"/>
        <v>0</v>
      </c>
      <c r="G68" s="378">
        <f t="shared" si="15"/>
        <v>0</v>
      </c>
      <c r="H68" s="378">
        <f t="shared" si="15"/>
        <v>0</v>
      </c>
      <c r="I68" s="12"/>
      <c r="J68" s="379">
        <f>SUM(C68:H68)</f>
        <v>1.3821650650766815</v>
      </c>
    </row>
    <row r="69" spans="1:19" x14ac:dyDescent="0.25">
      <c r="B69" s="4">
        <f>B58</f>
        <v>0</v>
      </c>
      <c r="C69" s="378">
        <f t="shared" ref="C69:H69" si="16">C45*C$38</f>
        <v>0</v>
      </c>
      <c r="D69" s="378">
        <f t="shared" si="16"/>
        <v>0</v>
      </c>
      <c r="E69" s="378">
        <f t="shared" si="16"/>
        <v>0</v>
      </c>
      <c r="F69" s="378">
        <f t="shared" si="16"/>
        <v>0</v>
      </c>
      <c r="G69" s="378">
        <f t="shared" si="16"/>
        <v>0</v>
      </c>
      <c r="H69" s="378">
        <f t="shared" si="16"/>
        <v>0</v>
      </c>
      <c r="I69" s="12"/>
      <c r="J69" s="379">
        <f>SUM(C69:H69)</f>
        <v>0</v>
      </c>
    </row>
    <row r="70" spans="1:19" x14ac:dyDescent="0.25">
      <c r="B70" s="4"/>
      <c r="C70" s="12"/>
      <c r="D70" s="12"/>
      <c r="E70" s="12"/>
      <c r="F70" s="12"/>
      <c r="G70" s="12"/>
      <c r="H70" s="12"/>
      <c r="I70" s="12"/>
      <c r="J70" s="5"/>
    </row>
    <row r="71" spans="1:19" x14ac:dyDescent="0.25">
      <c r="B71" s="7"/>
      <c r="C71" s="8"/>
      <c r="D71" s="8"/>
      <c r="E71" s="8"/>
      <c r="F71" s="8"/>
      <c r="G71" s="8"/>
      <c r="H71" s="8"/>
      <c r="I71" s="11" t="s">
        <v>419</v>
      </c>
      <c r="J71" s="380">
        <f>SUM(J65:J69)</f>
        <v>230.58461114450461</v>
      </c>
    </row>
    <row r="75" spans="1:19" x14ac:dyDescent="0.25">
      <c r="A75" s="136" t="s">
        <v>364</v>
      </c>
    </row>
    <row r="77" spans="1:19" x14ac:dyDescent="0.25">
      <c r="B77" t="s">
        <v>379</v>
      </c>
      <c r="J77" t="s">
        <v>383</v>
      </c>
    </row>
    <row r="78" spans="1:19" x14ac:dyDescent="0.25">
      <c r="B78" s="15"/>
      <c r="C78" s="16"/>
      <c r="D78" s="16"/>
      <c r="E78" s="16"/>
      <c r="F78" s="16"/>
      <c r="G78" s="3"/>
      <c r="J78" s="15"/>
      <c r="K78" s="16"/>
      <c r="L78" s="16"/>
      <c r="M78" s="3"/>
      <c r="P78" t="s">
        <v>650</v>
      </c>
    </row>
    <row r="79" spans="1:19" x14ac:dyDescent="0.25">
      <c r="B79" s="4" t="s">
        <v>372</v>
      </c>
      <c r="C79" s="12" t="s">
        <v>370</v>
      </c>
      <c r="D79" s="12" t="s">
        <v>371</v>
      </c>
      <c r="E79" s="351">
        <v>1.46</v>
      </c>
      <c r="F79" s="12"/>
      <c r="G79" s="5"/>
      <c r="J79" s="4"/>
      <c r="K79" s="12"/>
      <c r="L79" s="19" t="s">
        <v>362</v>
      </c>
      <c r="M79" s="5"/>
      <c r="P79" s="381" t="s">
        <v>394</v>
      </c>
      <c r="Q79" s="16"/>
      <c r="R79" s="16"/>
      <c r="S79" s="3"/>
    </row>
    <row r="80" spans="1:19" x14ac:dyDescent="0.25">
      <c r="B80" s="4" t="s">
        <v>373</v>
      </c>
      <c r="C80" s="12" t="s">
        <v>370</v>
      </c>
      <c r="D80" s="12" t="s">
        <v>371</v>
      </c>
      <c r="E80" s="351">
        <v>0.08</v>
      </c>
      <c r="F80" s="12"/>
      <c r="G80" s="5"/>
      <c r="J80" s="353" t="s">
        <v>382</v>
      </c>
      <c r="K80" s="12"/>
      <c r="L80" s="12">
        <v>94.6</v>
      </c>
      <c r="M80" s="5"/>
      <c r="P80" s="4"/>
      <c r="Q80" s="12" t="s">
        <v>370</v>
      </c>
      <c r="R80" s="12"/>
      <c r="S80" s="5"/>
    </row>
    <row r="81" spans="2:19" x14ac:dyDescent="0.25">
      <c r="B81" s="4" t="s">
        <v>374</v>
      </c>
      <c r="C81" s="12" t="s">
        <v>370</v>
      </c>
      <c r="D81" s="12" t="s">
        <v>371</v>
      </c>
      <c r="E81" s="351"/>
      <c r="F81" s="12"/>
      <c r="G81" s="5"/>
      <c r="J81" s="4" t="s">
        <v>11</v>
      </c>
      <c r="K81" s="12"/>
      <c r="L81" s="12">
        <v>107</v>
      </c>
      <c r="M81" s="5"/>
      <c r="P81" s="4" t="s">
        <v>24</v>
      </c>
      <c r="Q81" s="1">
        <v>7251928</v>
      </c>
      <c r="R81" s="12" t="s">
        <v>649</v>
      </c>
      <c r="S81" s="5" t="s">
        <v>651</v>
      </c>
    </row>
    <row r="82" spans="2:19" x14ac:dyDescent="0.25">
      <c r="B82" s="4" t="s">
        <v>375</v>
      </c>
      <c r="C82" s="12" t="s">
        <v>370</v>
      </c>
      <c r="D82" s="12" t="s">
        <v>371</v>
      </c>
      <c r="E82" s="351">
        <v>1.35</v>
      </c>
      <c r="F82" s="12"/>
      <c r="G82" s="5"/>
      <c r="J82" s="354" t="s">
        <v>381</v>
      </c>
      <c r="K82" s="12"/>
      <c r="L82" s="12">
        <v>0</v>
      </c>
      <c r="M82" s="5"/>
      <c r="P82" s="4" t="s">
        <v>1</v>
      </c>
      <c r="Q82" s="1">
        <v>0</v>
      </c>
      <c r="R82" s="12" t="s">
        <v>649</v>
      </c>
      <c r="S82" s="5" t="s">
        <v>651</v>
      </c>
    </row>
    <row r="83" spans="2:19" x14ac:dyDescent="0.25">
      <c r="B83" s="4" t="s">
        <v>376</v>
      </c>
      <c r="C83" s="12" t="s">
        <v>370</v>
      </c>
      <c r="D83" s="12" t="s">
        <v>371</v>
      </c>
      <c r="E83" s="352">
        <v>1.5249999999999999</v>
      </c>
      <c r="F83" s="12"/>
      <c r="G83" s="5"/>
      <c r="J83" s="354" t="s">
        <v>380</v>
      </c>
      <c r="K83" s="12"/>
      <c r="L83" s="12">
        <v>56.1</v>
      </c>
      <c r="M83" s="5"/>
      <c r="P83" s="4" t="s">
        <v>377</v>
      </c>
      <c r="Q83" s="1">
        <v>812005</v>
      </c>
      <c r="R83" s="12" t="s">
        <v>649</v>
      </c>
      <c r="S83" s="5" t="s">
        <v>651</v>
      </c>
    </row>
    <row r="84" spans="2:19" x14ac:dyDescent="0.25">
      <c r="B84" s="4" t="s">
        <v>377</v>
      </c>
      <c r="C84" s="12" t="s">
        <v>370</v>
      </c>
      <c r="D84" s="12" t="s">
        <v>371</v>
      </c>
      <c r="E84" s="352">
        <v>0.34</v>
      </c>
      <c r="F84" s="12"/>
      <c r="G84" s="5"/>
      <c r="J84" s="4" t="s">
        <v>363</v>
      </c>
      <c r="K84" s="12"/>
      <c r="L84" s="12">
        <v>77.400000000000006</v>
      </c>
      <c r="M84" s="5"/>
      <c r="P84" s="4" t="s">
        <v>20</v>
      </c>
      <c r="Q84" s="1">
        <v>586261</v>
      </c>
      <c r="R84" s="12" t="s">
        <v>649</v>
      </c>
      <c r="S84" s="5" t="s">
        <v>651</v>
      </c>
    </row>
    <row r="85" spans="2:19" x14ac:dyDescent="0.25">
      <c r="B85" s="4" t="s">
        <v>378</v>
      </c>
      <c r="C85" s="12" t="s">
        <v>370</v>
      </c>
      <c r="D85" s="12" t="s">
        <v>371</v>
      </c>
      <c r="E85" s="351"/>
      <c r="F85" s="12"/>
      <c r="G85" s="5"/>
      <c r="J85" s="4"/>
      <c r="K85" s="12"/>
      <c r="L85" s="12"/>
      <c r="M85" s="5"/>
      <c r="P85" s="4"/>
      <c r="Q85" s="21">
        <f>SUM(Q81:Q84)</f>
        <v>8650194</v>
      </c>
      <c r="R85" s="12"/>
      <c r="S85" s="5"/>
    </row>
    <row r="86" spans="2:19" x14ac:dyDescent="0.25">
      <c r="B86" s="4"/>
      <c r="C86" s="12"/>
      <c r="D86" s="12"/>
      <c r="E86" s="12"/>
      <c r="F86" s="12"/>
      <c r="G86" s="5"/>
      <c r="J86" s="4"/>
      <c r="K86" s="12"/>
      <c r="L86" s="12"/>
      <c r="M86" s="5"/>
      <c r="P86" s="7"/>
      <c r="Q86" s="8"/>
      <c r="R86" s="8"/>
      <c r="S86" s="9"/>
    </row>
    <row r="87" spans="2:19" x14ac:dyDescent="0.25">
      <c r="B87" s="7"/>
      <c r="C87" s="8"/>
      <c r="D87" s="8"/>
      <c r="E87" s="8"/>
      <c r="F87" s="8"/>
      <c r="G87" s="9"/>
      <c r="J87" s="7"/>
      <c r="K87" s="8"/>
      <c r="L87" s="8"/>
      <c r="M87" s="9"/>
    </row>
    <row r="88" spans="2:19" x14ac:dyDescent="0.25">
      <c r="J88" s="12"/>
      <c r="K88" s="12"/>
      <c r="L88" s="12"/>
      <c r="M88" s="12"/>
    </row>
    <row r="89" spans="2:19" x14ac:dyDescent="0.25">
      <c r="B89" t="s">
        <v>384</v>
      </c>
      <c r="J89" s="12"/>
      <c r="K89" s="12"/>
      <c r="L89" s="12"/>
      <c r="M89" s="12"/>
    </row>
    <row r="90" spans="2:19" x14ac:dyDescent="0.25">
      <c r="C90" t="s">
        <v>391</v>
      </c>
      <c r="K90" s="12"/>
      <c r="L90" s="12"/>
      <c r="M90" s="12"/>
      <c r="Q90" t="s">
        <v>391</v>
      </c>
    </row>
    <row r="91" spans="2:19" x14ac:dyDescent="0.25">
      <c r="B91" t="s">
        <v>7</v>
      </c>
      <c r="C91">
        <f>E79+E82</f>
        <v>2.81</v>
      </c>
      <c r="E91" s="356"/>
      <c r="J91" t="s">
        <v>390</v>
      </c>
      <c r="K91" s="12"/>
      <c r="L91" s="12"/>
      <c r="M91" s="12"/>
      <c r="P91" t="s">
        <v>7</v>
      </c>
      <c r="Q91">
        <v>2.81</v>
      </c>
    </row>
    <row r="92" spans="2:19" x14ac:dyDescent="0.25">
      <c r="B92" t="s">
        <v>9</v>
      </c>
      <c r="C92">
        <f>E83+E80</f>
        <v>1.605</v>
      </c>
      <c r="E92" s="356"/>
      <c r="J92" t="s">
        <v>536</v>
      </c>
      <c r="P92" t="s">
        <v>9</v>
      </c>
      <c r="Q92">
        <v>1.605</v>
      </c>
    </row>
    <row r="93" spans="2:19" x14ac:dyDescent="0.25">
      <c r="B93" t="s">
        <v>48</v>
      </c>
      <c r="E93" s="356"/>
      <c r="J93">
        <f>E79*0.5+E80*0.5</f>
        <v>0.77</v>
      </c>
      <c r="K93" t="s">
        <v>389</v>
      </c>
      <c r="P93" t="s">
        <v>8</v>
      </c>
      <c r="Q93">
        <v>0.08</v>
      </c>
    </row>
    <row r="94" spans="2:19" x14ac:dyDescent="0.25">
      <c r="B94" t="s">
        <v>8</v>
      </c>
      <c r="C94">
        <f>E80</f>
        <v>0.08</v>
      </c>
      <c r="E94" s="356"/>
      <c r="J94" s="355">
        <f>J98*E82*'AMSA - Saldanha'!I54+E83*'AMSA - Saldanha'!I55</f>
        <v>1.3567142857142858</v>
      </c>
      <c r="K94" t="s">
        <v>388</v>
      </c>
      <c r="P94" t="s">
        <v>173</v>
      </c>
      <c r="Q94">
        <v>2.1267142857142858</v>
      </c>
    </row>
    <row r="95" spans="2:19" x14ac:dyDescent="0.25">
      <c r="B95" t="s">
        <v>173</v>
      </c>
      <c r="C95" s="355">
        <f>J94+J93</f>
        <v>2.1267142857142858</v>
      </c>
      <c r="E95" s="356"/>
      <c r="P95" t="s">
        <v>10</v>
      </c>
      <c r="Q95">
        <v>1.54</v>
      </c>
      <c r="R95" t="s">
        <v>535</v>
      </c>
    </row>
    <row r="96" spans="2:19" x14ac:dyDescent="0.25">
      <c r="B96" t="s">
        <v>10</v>
      </c>
      <c r="C96">
        <f>E80+E79</f>
        <v>1.54</v>
      </c>
      <c r="D96" t="s">
        <v>535</v>
      </c>
      <c r="E96" s="356"/>
      <c r="J96" t="s">
        <v>402</v>
      </c>
    </row>
    <row r="97" spans="2:19" x14ac:dyDescent="0.25">
      <c r="D97" s="356"/>
      <c r="E97" s="356"/>
      <c r="J97" s="367">
        <v>0.1</v>
      </c>
      <c r="K97" t="s">
        <v>537</v>
      </c>
    </row>
    <row r="98" spans="2:19" x14ac:dyDescent="0.25">
      <c r="J98" s="367">
        <f>1-J97</f>
        <v>0.9</v>
      </c>
    </row>
    <row r="99" spans="2:19" x14ac:dyDescent="0.25">
      <c r="B99" s="136" t="s">
        <v>393</v>
      </c>
      <c r="E99" s="355"/>
    </row>
    <row r="100" spans="2:19" x14ac:dyDescent="0.25">
      <c r="C100" s="136">
        <v>2012</v>
      </c>
      <c r="D100" s="136">
        <v>2013</v>
      </c>
      <c r="E100" s="136">
        <v>2014</v>
      </c>
      <c r="F100" s="136">
        <v>2015</v>
      </c>
      <c r="G100" s="136">
        <v>2016</v>
      </c>
      <c r="H100" s="136">
        <v>2017</v>
      </c>
    </row>
    <row r="101" spans="2:19" x14ac:dyDescent="0.25">
      <c r="B101" t="s">
        <v>7</v>
      </c>
      <c r="C101" s="357">
        <f>SUMIFS('I&amp;S capacity + production'!M$242:M$246,'I&amp;S capacity + production'!$B$242:$B$246,$B101)</f>
        <v>3.3</v>
      </c>
      <c r="D101" s="357">
        <f>SUMIFS('I&amp;S capacity + production'!N$242:N$246,'I&amp;S capacity + production'!$B$242:$B$246,$B101)</f>
        <v>3.3760806916426511</v>
      </c>
      <c r="E101" s="357">
        <f>SUMIFS('I&amp;S capacity + production'!O$242:O$246,'I&amp;S capacity + production'!$B$242:$B$246,$B101)</f>
        <v>3.0907780979827089</v>
      </c>
      <c r="F101" s="357">
        <f>SUMIFS('I&amp;S capacity + production'!P$242:P$246,'I&amp;S capacity + production'!$B$242:$B$246,$B101)</f>
        <v>3.1641891891891891</v>
      </c>
      <c r="G101" s="357">
        <f>SUMIFS('I&amp;S capacity + production'!Q$242:Q$246,'I&amp;S capacity + production'!$B$242:$B$246,$B101)</f>
        <v>3.1641891891891891</v>
      </c>
      <c r="H101" s="357">
        <f>SUMIFS('I&amp;S capacity + production'!R$242:R$246,'I&amp;S capacity + production'!$B$242:$B$246,$B101)</f>
        <v>3.0330810810810807</v>
      </c>
    </row>
    <row r="102" spans="2:19" x14ac:dyDescent="0.25">
      <c r="B102" t="s">
        <v>9</v>
      </c>
      <c r="C102" s="357">
        <f>SUMIFS('I&amp;S capacity + production'!M$242:M$246,'I&amp;S capacity + production'!$B$242:$B$246,$B102)</f>
        <v>0.95</v>
      </c>
      <c r="D102" s="357">
        <f>SUMIFS('I&amp;S capacity + production'!N$242:N$246,'I&amp;S capacity + production'!$B$242:$B$246,$B102)</f>
        <v>0.97190201729106618</v>
      </c>
      <c r="E102" s="357">
        <f>SUMIFS('I&amp;S capacity + production'!O$242:O$246,'I&amp;S capacity + production'!$B$242:$B$246,$B102)</f>
        <v>0.88976945244956762</v>
      </c>
      <c r="F102" s="357">
        <f>SUMIFS('I&amp;S capacity + production'!P$242:P$246,'I&amp;S capacity + production'!$B$242:$B$246,$B102)</f>
        <v>0.77481081081081082</v>
      </c>
      <c r="G102" s="357">
        <f>SUMIFS('I&amp;S capacity + production'!Q$242:Q$246,'I&amp;S capacity + production'!$B$242:$B$246,$B102)</f>
        <v>0.77481081081081082</v>
      </c>
      <c r="H102" s="357">
        <f>SUMIFS('I&amp;S capacity + production'!R$242:R$246,'I&amp;S capacity + production'!$B$242:$B$246,$B102)</f>
        <v>0.75891891891891894</v>
      </c>
    </row>
    <row r="103" spans="2:19" x14ac:dyDescent="0.25">
      <c r="B103" t="s">
        <v>48</v>
      </c>
      <c r="C103" s="357">
        <f>SUMIFS('I&amp;S capacity + production'!M$242:M$246,'I&amp;S capacity + production'!$B$242:$B$246,$B103)</f>
        <v>0</v>
      </c>
      <c r="D103" s="357">
        <f>SUMIFS('I&amp;S capacity + production'!N$242:N$246,'I&amp;S capacity + production'!$B$242:$B$246,$B103)</f>
        <v>0</v>
      </c>
      <c r="E103" s="357">
        <f>SUMIFS('I&amp;S capacity + production'!O$242:O$246,'I&amp;S capacity + production'!$B$242:$B$246,$B103)</f>
        <v>0</v>
      </c>
      <c r="F103" s="357">
        <f>SUMIFS('I&amp;S capacity + production'!P$242:P$246,'I&amp;S capacity + production'!$B$242:$B$246,$B103)</f>
        <v>0</v>
      </c>
      <c r="G103" s="357">
        <f>SUMIFS('I&amp;S capacity + production'!Q$242:Q$246,'I&amp;S capacity + production'!$B$242:$B$246,$B103)</f>
        <v>0</v>
      </c>
      <c r="H103" s="357">
        <f>SUMIFS('I&amp;S capacity + production'!R$242:R$246,'I&amp;S capacity + production'!$B$242:$B$246,$B103)</f>
        <v>0</v>
      </c>
    </row>
    <row r="104" spans="2:19" x14ac:dyDescent="0.25">
      <c r="B104" t="s">
        <v>8</v>
      </c>
      <c r="C104" s="357">
        <f>SUMIFS('I&amp;S capacity + production'!M$242:M$246,'I&amp;S capacity + production'!$B$242:$B$246,$B104)</f>
        <v>0.86</v>
      </c>
      <c r="D104" s="357">
        <f>SUMIFS('I&amp;S capacity + production'!N$242:N$246,'I&amp;S capacity + production'!$B$242:$B$246,$B104)</f>
        <v>0.87982708933717579</v>
      </c>
      <c r="E104" s="357">
        <f>SUMIFS('I&amp;S capacity + production'!O$242:O$246,'I&amp;S capacity + production'!$B$242:$B$246,$B104)</f>
        <v>0.8054755043227666</v>
      </c>
      <c r="F104" s="357">
        <f>SUMIFS('I&amp;S capacity + production'!P$242:P$246,'I&amp;S capacity + production'!$B$242:$B$246,$B104)</f>
        <v>1.3620000000000003</v>
      </c>
      <c r="G104" s="357">
        <f>SUMIFS('I&amp;S capacity + production'!Q$242:Q$246,'I&amp;S capacity + production'!$B$242:$B$246,$B104)</f>
        <v>1.3200000000000003</v>
      </c>
      <c r="H104" s="357">
        <f>SUMIFS('I&amp;S capacity + production'!R$242:R$246,'I&amp;S capacity + production'!$B$242:$B$246,$B104)</f>
        <v>1.3200000000000003</v>
      </c>
      <c r="K104" t="s">
        <v>400</v>
      </c>
    </row>
    <row r="105" spans="2:19" x14ac:dyDescent="0.25">
      <c r="B105" t="s">
        <v>173</v>
      </c>
      <c r="C105" s="357">
        <f>SUMIFS('I&amp;S capacity + production'!M$242:M$246,'I&amp;S capacity + production'!$B$242:$B$246,$B105)</f>
        <v>1.21</v>
      </c>
      <c r="D105" s="357">
        <f>SUMIFS('I&amp;S capacity + production'!N$242:N$246,'I&amp;S capacity + production'!$B$242:$B$246,$B105)</f>
        <v>1.2378962536023055</v>
      </c>
      <c r="E105" s="357">
        <f>SUMIFS('I&amp;S capacity + production'!O$242:O$246,'I&amp;S capacity + production'!$B$242:$B$246,$B105)</f>
        <v>1.13328530259366</v>
      </c>
      <c r="F105" s="357">
        <f>SUMIFS('I&amp;S capacity + production'!P$242:P$246,'I&amp;S capacity + production'!$B$242:$B$246,$B105)</f>
        <v>0.96299999999999997</v>
      </c>
      <c r="G105" s="357">
        <f>SUMIFS('I&amp;S capacity + production'!Q$242:Q$246,'I&amp;S capacity + production'!$B$242:$B$246,$B105)</f>
        <v>0.83199999999999996</v>
      </c>
      <c r="H105" s="357">
        <f>SUMIFS('I&amp;S capacity + production'!R$242:R$246,'I&amp;S capacity + production'!$B$242:$B$246,$B105)</f>
        <v>1.1180000000000001</v>
      </c>
      <c r="K105" s="15" t="s">
        <v>401</v>
      </c>
      <c r="L105" s="16"/>
      <c r="M105" s="16"/>
      <c r="N105" s="16"/>
      <c r="O105" s="16"/>
      <c r="P105" s="16"/>
      <c r="Q105" s="16"/>
      <c r="R105" s="3"/>
    </row>
    <row r="106" spans="2:19" x14ac:dyDescent="0.25">
      <c r="B106" s="8" t="s">
        <v>10</v>
      </c>
      <c r="C106" s="301">
        <f>SUMIFS('I&amp;S capacity + production'!M$242:M$246,'I&amp;S capacity + production'!$B$242:$B$246,$B106)</f>
        <v>0.62</v>
      </c>
      <c r="D106" s="301">
        <f>SUMIFS('I&amp;S capacity + production'!N$242:N$246,'I&amp;S capacity + production'!$B$242:$B$246,$B106)</f>
        <v>0.63429394812680118</v>
      </c>
      <c r="E106" s="301">
        <f>SUMIFS('I&amp;S capacity + production'!O$242:O$246,'I&amp;S capacity + production'!$B$242:$B$246,$B106)</f>
        <v>0.5806916426512968</v>
      </c>
      <c r="F106" s="301">
        <f>SUMIFS('I&amp;S capacity + production'!P$242:P$246,'I&amp;S capacity + production'!$B$242:$B$246,$B106)</f>
        <v>0.1360000000000007</v>
      </c>
      <c r="G106" s="301">
        <f>SUMIFS('I&amp;S capacity + production'!Q$242:Q$246,'I&amp;S capacity + production'!$B$242:$B$246,$B106)</f>
        <v>0</v>
      </c>
      <c r="H106" s="301">
        <f>SUMIFS('I&amp;S capacity + production'!R$242:R$246,'I&amp;S capacity + production'!$B$242:$B$246,$B106)</f>
        <v>0</v>
      </c>
      <c r="K106" s="4">
        <v>2012</v>
      </c>
      <c r="L106" s="12">
        <v>2015</v>
      </c>
      <c r="M106" s="12">
        <v>2016</v>
      </c>
      <c r="N106" s="12">
        <v>2017</v>
      </c>
      <c r="O106" s="12"/>
      <c r="P106" s="12"/>
      <c r="Q106" s="12"/>
      <c r="R106" s="5"/>
    </row>
    <row r="107" spans="2:19" x14ac:dyDescent="0.25">
      <c r="B107" s="136" t="s">
        <v>403</v>
      </c>
      <c r="C107" s="359">
        <f>SUM(C101:C106)</f>
        <v>6.94</v>
      </c>
      <c r="D107" s="136"/>
      <c r="E107" s="136"/>
      <c r="F107" s="359">
        <f>SUM(F101:F106)</f>
        <v>6.4000000000000012</v>
      </c>
      <c r="G107" s="359">
        <f>SUM(G101:G106)</f>
        <v>6.0910000000000002</v>
      </c>
      <c r="H107" s="359">
        <f>SUM(H101:H106)</f>
        <v>6.23</v>
      </c>
      <c r="K107" s="361">
        <v>3904276</v>
      </c>
      <c r="L107" s="352">
        <v>3907513</v>
      </c>
      <c r="M107" s="362">
        <v>3498862.4886730551</v>
      </c>
      <c r="N107" s="362">
        <v>3426152.5033293515</v>
      </c>
      <c r="O107" s="12" t="s">
        <v>24</v>
      </c>
      <c r="P107" s="12"/>
      <c r="Q107" s="18"/>
      <c r="R107" s="281"/>
      <c r="S107" s="137"/>
    </row>
    <row r="108" spans="2:19" x14ac:dyDescent="0.25">
      <c r="B108" t="s">
        <v>396</v>
      </c>
      <c r="C108" s="359">
        <f>(K108+K107)/1000000</f>
        <v>7.8085519999999997</v>
      </c>
      <c r="E108" s="136"/>
      <c r="F108" s="345">
        <f>(L108+L107)/1000000</f>
        <v>6.3981000000000003</v>
      </c>
      <c r="G108" s="345">
        <f>(M108+M107)/1000000</f>
        <v>6.5385644428665914</v>
      </c>
      <c r="H108" s="345">
        <f>(N108+N107)/1000000</f>
        <v>6.3466660390891816</v>
      </c>
      <c r="K108" s="361">
        <v>3904276</v>
      </c>
      <c r="L108" s="352">
        <v>2490587</v>
      </c>
      <c r="M108" s="352">
        <v>3039701.9541935371</v>
      </c>
      <c r="N108" s="352">
        <v>2920513.5357598299</v>
      </c>
      <c r="O108" s="12" t="s">
        <v>1</v>
      </c>
      <c r="P108" s="12">
        <f>N108/SUM(N107:N108)</f>
        <v>0.46016499336381606</v>
      </c>
      <c r="Q108" s="18"/>
      <c r="R108" s="281"/>
      <c r="S108" s="137"/>
    </row>
    <row r="109" spans="2:19" x14ac:dyDescent="0.25">
      <c r="K109" s="4"/>
      <c r="L109" s="12"/>
      <c r="M109" s="12"/>
      <c r="N109" s="12"/>
      <c r="O109" s="12"/>
      <c r="P109" s="12"/>
      <c r="Q109" s="12"/>
      <c r="R109" s="5"/>
    </row>
    <row r="110" spans="2:19" x14ac:dyDescent="0.25">
      <c r="B110" s="136" t="s">
        <v>394</v>
      </c>
      <c r="C110" s="136" t="s">
        <v>392</v>
      </c>
      <c r="K110" s="4" t="s">
        <v>397</v>
      </c>
      <c r="L110" s="12"/>
      <c r="M110" s="12"/>
      <c r="N110" s="12"/>
      <c r="O110" s="12"/>
      <c r="P110" s="12"/>
      <c r="Q110" s="12"/>
      <c r="R110" s="5"/>
    </row>
    <row r="111" spans="2:19" x14ac:dyDescent="0.25">
      <c r="B111" t="s">
        <v>7</v>
      </c>
      <c r="C111" s="349">
        <f t="shared" ref="C111:C116" si="17">C101*$C91</f>
        <v>9.2729999999999997</v>
      </c>
      <c r="D111" s="349"/>
      <c r="E111" s="349"/>
      <c r="F111" s="349">
        <f t="shared" ref="F111:H116" si="18">F101*$C91</f>
        <v>8.8913716216216212</v>
      </c>
      <c r="G111" s="349">
        <f t="shared" si="18"/>
        <v>8.8913716216216212</v>
      </c>
      <c r="H111" s="349">
        <f>H101*$C91</f>
        <v>8.5229578378378363</v>
      </c>
      <c r="K111" s="363">
        <v>15020.696860000002</v>
      </c>
      <c r="L111" s="364">
        <v>14093.548470927624</v>
      </c>
      <c r="M111" s="364">
        <v>14829.058053603329</v>
      </c>
      <c r="N111" s="364">
        <v>15074.336748610733</v>
      </c>
      <c r="O111" s="12"/>
      <c r="P111" s="12"/>
      <c r="Q111" s="12"/>
      <c r="R111" s="5"/>
    </row>
    <row r="112" spans="2:19" x14ac:dyDescent="0.25">
      <c r="B112" t="s">
        <v>9</v>
      </c>
      <c r="C112" s="349">
        <f t="shared" si="17"/>
        <v>1.5247499999999998</v>
      </c>
      <c r="D112" s="349"/>
      <c r="E112" s="349"/>
      <c r="F112" s="349">
        <f t="shared" si="18"/>
        <v>1.2435713513513513</v>
      </c>
      <c r="G112" s="349">
        <f t="shared" si="18"/>
        <v>1.2435713513513513</v>
      </c>
      <c r="H112" s="349">
        <f t="shared" si="18"/>
        <v>1.2180648648648649</v>
      </c>
      <c r="K112" s="4"/>
      <c r="L112" s="12"/>
      <c r="M112" s="12"/>
      <c r="N112" s="12"/>
      <c r="O112" s="12"/>
      <c r="P112" s="12"/>
      <c r="Q112" s="12"/>
      <c r="R112" s="5"/>
    </row>
    <row r="113" spans="2:21" x14ac:dyDescent="0.25">
      <c r="B113" t="s">
        <v>48</v>
      </c>
      <c r="C113" s="349">
        <f t="shared" si="17"/>
        <v>0</v>
      </c>
      <c r="D113" s="349"/>
      <c r="E113" s="349"/>
      <c r="F113" s="349">
        <f t="shared" si="18"/>
        <v>0</v>
      </c>
      <c r="G113" s="349">
        <f t="shared" si="18"/>
        <v>0</v>
      </c>
      <c r="H113" s="349">
        <f t="shared" si="18"/>
        <v>0</v>
      </c>
      <c r="K113" s="365">
        <f>K111*1000/SUM(K107:K108)</f>
        <v>1.9236212885564443</v>
      </c>
      <c r="L113" s="366">
        <f>L111*1000/SUM(L107:L108)</f>
        <v>2.2027708961922485</v>
      </c>
      <c r="M113" s="366">
        <f>M111*1000/SUM(M107:M108)</f>
        <v>2.267937891134721</v>
      </c>
      <c r="N113" s="366">
        <f>N111*1000/SUM(N107:N108)</f>
        <v>2.3751583360094477</v>
      </c>
      <c r="O113" s="12"/>
      <c r="P113" s="12"/>
      <c r="Q113" s="12"/>
      <c r="R113" s="5"/>
    </row>
    <row r="114" spans="2:21" x14ac:dyDescent="0.25">
      <c r="B114" t="s">
        <v>8</v>
      </c>
      <c r="C114" s="349">
        <f t="shared" si="17"/>
        <v>6.88E-2</v>
      </c>
      <c r="D114" s="349"/>
      <c r="E114" s="349"/>
      <c r="F114" s="349">
        <f t="shared" si="18"/>
        <v>0.10896000000000003</v>
      </c>
      <c r="G114" s="349">
        <f t="shared" si="18"/>
        <v>0.10560000000000003</v>
      </c>
      <c r="H114" s="349">
        <f t="shared" si="18"/>
        <v>0.10560000000000003</v>
      </c>
      <c r="K114" s="4"/>
      <c r="L114" s="12"/>
      <c r="M114" s="12"/>
      <c r="N114" s="12"/>
      <c r="O114" s="12"/>
      <c r="P114" s="12"/>
      <c r="Q114" s="12"/>
      <c r="R114" s="5"/>
    </row>
    <row r="115" spans="2:21" x14ac:dyDescent="0.25">
      <c r="B115" t="s">
        <v>173</v>
      </c>
      <c r="C115" s="349">
        <f t="shared" si="17"/>
        <v>2.5733242857142855</v>
      </c>
      <c r="D115" s="349"/>
      <c r="E115" s="349"/>
      <c r="F115" s="349">
        <f t="shared" si="18"/>
        <v>2.0480258571428571</v>
      </c>
      <c r="G115" s="349">
        <f t="shared" si="18"/>
        <v>1.7694262857142857</v>
      </c>
      <c r="H115" s="349">
        <f t="shared" si="18"/>
        <v>2.3776665714285716</v>
      </c>
      <c r="K115" s="4"/>
      <c r="L115" s="12"/>
      <c r="M115" s="12"/>
      <c r="N115" s="12"/>
      <c r="O115" s="12"/>
      <c r="P115" s="12"/>
      <c r="Q115" s="12"/>
      <c r="R115" s="5"/>
    </row>
    <row r="116" spans="2:21" x14ac:dyDescent="0.25">
      <c r="B116" s="8" t="s">
        <v>10</v>
      </c>
      <c r="C116" s="360">
        <f t="shared" si="17"/>
        <v>0.95479999999999998</v>
      </c>
      <c r="D116" s="360"/>
      <c r="E116" s="360"/>
      <c r="F116" s="360">
        <f t="shared" si="18"/>
        <v>0.2094400000000011</v>
      </c>
      <c r="G116" s="360">
        <f t="shared" si="18"/>
        <v>0</v>
      </c>
      <c r="H116" s="360">
        <f t="shared" si="18"/>
        <v>0</v>
      </c>
      <c r="K116" s="4"/>
      <c r="L116" s="12">
        <v>2012</v>
      </c>
      <c r="M116" s="12">
        <v>2013</v>
      </c>
      <c r="N116" s="12">
        <v>2014</v>
      </c>
      <c r="O116" s="12">
        <v>2015</v>
      </c>
      <c r="P116" s="12">
        <v>2016</v>
      </c>
      <c r="Q116" s="12">
        <v>2017</v>
      </c>
      <c r="R116" s="5"/>
    </row>
    <row r="117" spans="2:21" x14ac:dyDescent="0.25">
      <c r="B117" s="136" t="s">
        <v>403</v>
      </c>
      <c r="C117" s="358">
        <f>SUM(C111:C116)</f>
        <v>14.394674285714284</v>
      </c>
      <c r="D117" s="358"/>
      <c r="E117" s="358"/>
      <c r="F117" s="358">
        <f>SUM(F111:F116)</f>
        <v>12.50136883011583</v>
      </c>
      <c r="G117" s="358">
        <f>SUM(G111:G116)</f>
        <v>12.009969258687258</v>
      </c>
      <c r="H117" s="358">
        <f>SUM(H111:H116)</f>
        <v>12.224289274131273</v>
      </c>
      <c r="K117" s="4" t="s">
        <v>24</v>
      </c>
      <c r="L117" s="12">
        <v>5700.2429599999996</v>
      </c>
      <c r="M117" s="12">
        <v>6237.0440799999997</v>
      </c>
      <c r="N117" s="12">
        <v>5289.4471399999993</v>
      </c>
      <c r="O117" s="12">
        <v>5704.9689799999996</v>
      </c>
      <c r="P117" s="12">
        <v>5108.3392334626606</v>
      </c>
      <c r="Q117" s="12">
        <v>5002.1826548608533</v>
      </c>
      <c r="R117" s="5"/>
      <c r="T117" t="s">
        <v>7</v>
      </c>
      <c r="U117">
        <f>Q117+Q120</f>
        <v>11650.511454860854</v>
      </c>
    </row>
    <row r="118" spans="2:21" x14ac:dyDescent="0.25">
      <c r="B118" t="s">
        <v>395</v>
      </c>
      <c r="C118" s="358">
        <f>L125/1000</f>
        <v>15.020696860000001</v>
      </c>
      <c r="F118" s="358">
        <f>O125/1000</f>
        <v>14.093548470927624</v>
      </c>
      <c r="G118" s="358">
        <f>P125/1000</f>
        <v>14.829058053603328</v>
      </c>
      <c r="H118" s="358">
        <f>Q125/1000</f>
        <v>15.074336748610733</v>
      </c>
      <c r="K118" s="4" t="s">
        <v>1</v>
      </c>
      <c r="L118" s="12">
        <v>312.34208000000001</v>
      </c>
      <c r="M118" s="12">
        <v>263.42958532513273</v>
      </c>
      <c r="N118" s="12">
        <v>223.14328</v>
      </c>
      <c r="O118" s="12">
        <v>199.24696</v>
      </c>
      <c r="P118" s="12">
        <v>243.17615633548297</v>
      </c>
      <c r="Q118" s="12">
        <v>233.64108286078641</v>
      </c>
      <c r="R118" s="5"/>
      <c r="T118" t="s">
        <v>9</v>
      </c>
      <c r="U118">
        <f>Q118+Q121</f>
        <v>2982.2315072950119</v>
      </c>
    </row>
    <row r="119" spans="2:21" x14ac:dyDescent="0.25">
      <c r="H119" s="349">
        <f>H118-H117</f>
        <v>2.8500474744794602</v>
      </c>
      <c r="K119" s="4" t="s">
        <v>413</v>
      </c>
      <c r="L119" s="12">
        <v>0</v>
      </c>
      <c r="M119" s="12">
        <v>0</v>
      </c>
      <c r="N119" s="12">
        <v>0</v>
      </c>
      <c r="O119" s="12">
        <v>0</v>
      </c>
      <c r="P119" s="12">
        <v>0</v>
      </c>
      <c r="Q119" s="12">
        <v>0</v>
      </c>
      <c r="R119" s="5"/>
    </row>
    <row r="120" spans="2:21" x14ac:dyDescent="0.25">
      <c r="K120" s="4" t="s">
        <v>35</v>
      </c>
      <c r="L120" s="12">
        <v>6208.6702500000001</v>
      </c>
      <c r="M120" s="12">
        <v>6652.1925000000001</v>
      </c>
      <c r="N120" s="12">
        <v>5942.3409000000001</v>
      </c>
      <c r="O120" s="12">
        <v>6026.0746500000005</v>
      </c>
      <c r="P120" s="12">
        <v>6278.7447000000002</v>
      </c>
      <c r="Q120" s="12">
        <v>6648.3288000000011</v>
      </c>
      <c r="R120" s="5"/>
    </row>
    <row r="121" spans="2:21" x14ac:dyDescent="0.25">
      <c r="B121" t="s">
        <v>398</v>
      </c>
      <c r="K121" s="4" t="s">
        <v>20</v>
      </c>
      <c r="L121" s="12">
        <v>2277.4654999999998</v>
      </c>
      <c r="M121" s="12">
        <v>1974.875</v>
      </c>
      <c r="N121" s="12">
        <v>2457.5832500000001</v>
      </c>
      <c r="O121" s="12">
        <v>1715.5807749999999</v>
      </c>
      <c r="P121" s="12">
        <v>2754.2520298699405</v>
      </c>
      <c r="Q121" s="12">
        <v>2748.5904244342255</v>
      </c>
      <c r="R121" s="5"/>
    </row>
    <row r="122" spans="2:21" x14ac:dyDescent="0.25">
      <c r="B122" t="s">
        <v>399</v>
      </c>
      <c r="C122" s="355">
        <f>C117/C107</f>
        <v>2.0741605599011934</v>
      </c>
      <c r="D122" s="355"/>
      <c r="E122" s="355"/>
      <c r="F122" s="355">
        <f>F117/F107</f>
        <v>1.9533388797055979</v>
      </c>
      <c r="G122" s="355">
        <f>G117/G107</f>
        <v>1.9717565684924081</v>
      </c>
      <c r="H122" s="355">
        <f>H117/H107</f>
        <v>1.9621652125411351</v>
      </c>
      <c r="K122" s="4" t="s">
        <v>377</v>
      </c>
      <c r="L122" s="12">
        <v>0</v>
      </c>
      <c r="M122" s="12">
        <v>0</v>
      </c>
      <c r="N122" s="12">
        <v>0</v>
      </c>
      <c r="O122" s="12">
        <v>0</v>
      </c>
      <c r="P122" s="12">
        <v>0</v>
      </c>
      <c r="Q122" s="12">
        <v>0</v>
      </c>
      <c r="R122" s="5"/>
    </row>
    <row r="123" spans="2:21" x14ac:dyDescent="0.25">
      <c r="B123" t="s">
        <v>400</v>
      </c>
      <c r="C123" s="349">
        <f>K113</f>
        <v>1.9236212885564443</v>
      </c>
      <c r="F123" s="349">
        <f>L113</f>
        <v>2.2027708961922485</v>
      </c>
      <c r="G123" s="349">
        <f>M113</f>
        <v>2.267937891134721</v>
      </c>
      <c r="H123" s="349">
        <f>N113</f>
        <v>2.3751583360094477</v>
      </c>
      <c r="K123" s="4" t="s">
        <v>378</v>
      </c>
      <c r="L123" s="12">
        <v>0</v>
      </c>
      <c r="M123" s="12">
        <v>0</v>
      </c>
      <c r="N123" s="12">
        <v>0</v>
      </c>
      <c r="O123" s="12">
        <v>0</v>
      </c>
      <c r="P123" s="12">
        <v>0</v>
      </c>
      <c r="Q123" s="12">
        <v>0</v>
      </c>
      <c r="R123" s="5"/>
    </row>
    <row r="124" spans="2:21" x14ac:dyDescent="0.25">
      <c r="K124" s="4" t="s">
        <v>18</v>
      </c>
      <c r="L124" s="12">
        <v>521.97607000000005</v>
      </c>
      <c r="M124" s="12">
        <v>454.57380473021976</v>
      </c>
      <c r="N124" s="12">
        <v>451.01042502736851</v>
      </c>
      <c r="O124" s="12">
        <v>447.67710592762421</v>
      </c>
      <c r="P124" s="12">
        <v>444.54593393524567</v>
      </c>
      <c r="Q124" s="12">
        <v>441.59378645486481</v>
      </c>
      <c r="R124" s="5"/>
    </row>
    <row r="125" spans="2:21" x14ac:dyDescent="0.25">
      <c r="K125" s="4" t="s">
        <v>412</v>
      </c>
      <c r="L125" s="12">
        <f t="shared" ref="L125:Q125" si="19">SUM(L117:L124)</f>
        <v>15020.696860000002</v>
      </c>
      <c r="M125" s="12">
        <f t="shared" si="19"/>
        <v>15582.114970055352</v>
      </c>
      <c r="N125" s="12">
        <f t="shared" si="19"/>
        <v>14363.524995027368</v>
      </c>
      <c r="O125" s="12">
        <f t="shared" si="19"/>
        <v>14093.548470927624</v>
      </c>
      <c r="P125" s="12">
        <f t="shared" si="19"/>
        <v>14829.058053603329</v>
      </c>
      <c r="Q125" s="12">
        <f t="shared" si="19"/>
        <v>15074.336748610733</v>
      </c>
      <c r="R125" s="5"/>
    </row>
    <row r="126" spans="2:21" x14ac:dyDescent="0.25">
      <c r="K126" s="4"/>
      <c r="L126" s="12"/>
      <c r="M126" s="12"/>
      <c r="N126" s="12"/>
      <c r="O126" s="12"/>
      <c r="P126" s="12"/>
      <c r="Q126" s="12"/>
      <c r="R126" s="5"/>
    </row>
    <row r="127" spans="2:21" x14ac:dyDescent="0.25">
      <c r="K127" s="4"/>
      <c r="L127" s="12"/>
      <c r="M127" s="12"/>
      <c r="N127" s="12"/>
      <c r="O127" s="12"/>
      <c r="P127" s="12"/>
      <c r="Q127" s="12"/>
      <c r="R127" s="5"/>
    </row>
    <row r="128" spans="2:21" x14ac:dyDescent="0.25">
      <c r="K128" s="7"/>
      <c r="L128" s="8"/>
      <c r="M128" s="8"/>
      <c r="N128" s="8"/>
      <c r="O128" s="8"/>
      <c r="P128" s="8"/>
      <c r="Q128" s="8"/>
      <c r="R128" s="9"/>
    </row>
  </sheetData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F6610-0175-4969-9115-11E753C02671}">
  <dimension ref="A4:C12"/>
  <sheetViews>
    <sheetView workbookViewId="0">
      <selection activeCell="O32" sqref="O32"/>
    </sheetView>
  </sheetViews>
  <sheetFormatPr defaultRowHeight="15" x14ac:dyDescent="0.25"/>
  <sheetData>
    <row r="4" spans="1:3" x14ac:dyDescent="0.25">
      <c r="B4" s="132" t="s">
        <v>602</v>
      </c>
    </row>
    <row r="5" spans="1:3" x14ac:dyDescent="0.25">
      <c r="B5" t="s">
        <v>603</v>
      </c>
      <c r="C5" t="s">
        <v>604</v>
      </c>
    </row>
    <row r="7" spans="1:3" x14ac:dyDescent="0.25">
      <c r="A7" s="136" t="s">
        <v>6</v>
      </c>
    </row>
    <row r="8" spans="1:3" x14ac:dyDescent="0.25">
      <c r="B8" t="s">
        <v>620</v>
      </c>
    </row>
    <row r="9" spans="1:3" x14ac:dyDescent="0.25">
      <c r="B9">
        <v>280</v>
      </c>
      <c r="C9" t="s">
        <v>619</v>
      </c>
    </row>
    <row r="10" spans="1:3" x14ac:dyDescent="0.25">
      <c r="B10">
        <v>120</v>
      </c>
      <c r="C10" t="s">
        <v>621</v>
      </c>
    </row>
    <row r="11" spans="1:3" x14ac:dyDescent="0.25">
      <c r="B11">
        <v>500</v>
      </c>
      <c r="C11" t="s">
        <v>622</v>
      </c>
    </row>
    <row r="12" spans="1:3" x14ac:dyDescent="0.25">
      <c r="B12" t="s">
        <v>199</v>
      </c>
      <c r="C12" t="s">
        <v>623</v>
      </c>
    </row>
  </sheetData>
  <hyperlinks>
    <hyperlink ref="B4" r:id="rId1" xr:uid="{479A957A-1730-400B-A662-FE06B57E35DD}"/>
  </hyperlinks>
  <pageMargins left="0.7" right="0.7" top="0.75" bottom="0.75" header="0.3" footer="0.3"/>
  <pageSetup orientation="portrait" horizontalDpi="1200" verticalDpi="1200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3A8B9-588D-452D-AD22-78C4E5F1F8ED}">
  <dimension ref="A2:O101"/>
  <sheetViews>
    <sheetView topLeftCell="A25" workbookViewId="0">
      <selection activeCell="M56" sqref="M56"/>
    </sheetView>
  </sheetViews>
  <sheetFormatPr defaultRowHeight="15" x14ac:dyDescent="0.25"/>
  <cols>
    <col min="1" max="1" width="20.28515625" customWidth="1"/>
    <col min="2" max="2" width="10.85546875" bestFit="1" customWidth="1"/>
    <col min="3" max="3" width="12.28515625" bestFit="1" customWidth="1"/>
    <col min="10" max="10" width="14" bestFit="1" customWidth="1"/>
    <col min="12" max="12" width="9.85546875" bestFit="1" customWidth="1"/>
    <col min="13" max="13" width="10" bestFit="1" customWidth="1"/>
    <col min="15" max="15" width="15.28515625" bestFit="1" customWidth="1"/>
  </cols>
  <sheetData>
    <row r="2" spans="1:11" x14ac:dyDescent="0.25">
      <c r="A2" t="s">
        <v>421</v>
      </c>
      <c r="J2" t="s">
        <v>427</v>
      </c>
    </row>
    <row r="3" spans="1:11" x14ac:dyDescent="0.25">
      <c r="A3" s="15"/>
      <c r="B3" s="16"/>
      <c r="C3" s="16"/>
      <c r="D3" s="16"/>
      <c r="E3" s="16"/>
      <c r="F3" s="16"/>
      <c r="G3" s="16"/>
      <c r="H3" s="3"/>
    </row>
    <row r="4" spans="1:11" x14ac:dyDescent="0.25">
      <c r="A4" s="4"/>
      <c r="B4" s="12"/>
      <c r="C4" s="12"/>
      <c r="D4" s="12"/>
      <c r="E4" s="12"/>
      <c r="F4" s="12"/>
      <c r="G4" s="12"/>
      <c r="H4" s="5"/>
      <c r="J4" t="s">
        <v>434</v>
      </c>
    </row>
    <row r="5" spans="1:11" x14ac:dyDescent="0.25">
      <c r="A5" s="4" t="s">
        <v>423</v>
      </c>
      <c r="B5" s="392">
        <v>220000</v>
      </c>
      <c r="C5" s="12" t="s">
        <v>424</v>
      </c>
      <c r="E5" s="12"/>
      <c r="F5" s="12"/>
      <c r="H5" s="5"/>
      <c r="J5">
        <v>30</v>
      </c>
      <c r="K5" t="s">
        <v>435</v>
      </c>
    </row>
    <row r="6" spans="1:11" x14ac:dyDescent="0.25">
      <c r="A6" s="4" t="s">
        <v>464</v>
      </c>
      <c r="B6" s="12"/>
      <c r="C6" s="12"/>
      <c r="D6" s="12"/>
      <c r="E6" s="12"/>
      <c r="F6" s="12"/>
      <c r="G6" s="12"/>
      <c r="H6" s="5"/>
    </row>
    <row r="7" spans="1:11" x14ac:dyDescent="0.25">
      <c r="A7" s="4"/>
      <c r="B7" s="12"/>
      <c r="C7" s="19">
        <v>2016</v>
      </c>
      <c r="D7" s="19">
        <v>2017</v>
      </c>
      <c r="E7" s="19">
        <v>2018</v>
      </c>
      <c r="F7" s="12"/>
      <c r="G7" s="12"/>
      <c r="H7" s="5"/>
    </row>
    <row r="8" spans="1:11" x14ac:dyDescent="0.25">
      <c r="A8" s="4" t="s">
        <v>422</v>
      </c>
      <c r="B8" s="12"/>
      <c r="C8" s="12">
        <v>195000</v>
      </c>
      <c r="D8" s="12">
        <v>190000</v>
      </c>
      <c r="E8" s="12">
        <v>184000</v>
      </c>
      <c r="F8" s="12"/>
      <c r="G8" s="12" t="s">
        <v>289</v>
      </c>
      <c r="H8" s="5"/>
      <c r="J8" t="s">
        <v>431</v>
      </c>
    </row>
    <row r="9" spans="1:11" x14ac:dyDescent="0.25">
      <c r="A9" s="4" t="s">
        <v>425</v>
      </c>
      <c r="B9" s="12"/>
      <c r="C9" s="12">
        <v>1.4</v>
      </c>
      <c r="D9" s="12">
        <v>1.4</v>
      </c>
      <c r="E9" s="12">
        <v>1.4</v>
      </c>
      <c r="F9" s="12"/>
      <c r="G9" s="12" t="s">
        <v>426</v>
      </c>
      <c r="H9" s="5"/>
      <c r="J9" t="s">
        <v>432</v>
      </c>
    </row>
    <row r="10" spans="1:11" x14ac:dyDescent="0.25">
      <c r="A10" s="4"/>
      <c r="B10" s="12"/>
      <c r="C10" s="12"/>
      <c r="D10" s="12"/>
      <c r="E10" s="12"/>
      <c r="F10" s="12"/>
      <c r="G10" s="12"/>
      <c r="H10" s="5"/>
    </row>
    <row r="11" spans="1:11" x14ac:dyDescent="0.25">
      <c r="A11" s="4" t="s">
        <v>430</v>
      </c>
      <c r="B11" s="12"/>
      <c r="C11" s="12"/>
      <c r="D11" s="12"/>
      <c r="E11" s="12"/>
      <c r="F11" s="12"/>
      <c r="G11" s="12"/>
      <c r="H11" s="5"/>
    </row>
    <row r="12" spans="1:11" x14ac:dyDescent="0.25">
      <c r="A12" s="4" t="s">
        <v>428</v>
      </c>
      <c r="B12" s="12"/>
      <c r="C12" s="12">
        <v>367</v>
      </c>
      <c r="D12" s="12">
        <v>193</v>
      </c>
      <c r="E12" s="12">
        <v>158</v>
      </c>
      <c r="F12" s="12"/>
      <c r="G12" s="12" t="s">
        <v>429</v>
      </c>
      <c r="H12" s="5"/>
      <c r="J12" t="s">
        <v>465</v>
      </c>
    </row>
    <row r="13" spans="1:11" x14ac:dyDescent="0.25">
      <c r="A13" s="4"/>
      <c r="B13" s="12"/>
      <c r="C13" s="12"/>
      <c r="D13" s="12"/>
      <c r="E13" s="12"/>
      <c r="F13" s="12"/>
      <c r="G13" s="12"/>
      <c r="H13" s="5"/>
    </row>
    <row r="14" spans="1:11" x14ac:dyDescent="0.25">
      <c r="A14" s="4"/>
      <c r="B14" s="12"/>
      <c r="C14" s="12"/>
      <c r="D14" s="12"/>
      <c r="E14" s="12"/>
      <c r="F14" s="12"/>
      <c r="G14" s="12"/>
      <c r="H14" s="5"/>
    </row>
    <row r="15" spans="1:11" x14ac:dyDescent="0.25">
      <c r="A15" s="4" t="s">
        <v>433</v>
      </c>
      <c r="B15" s="12"/>
      <c r="C15" s="12">
        <f>C8*$J$5/1000000</f>
        <v>5.85</v>
      </c>
      <c r="D15" s="12">
        <f>D8*$J$5/1000000</f>
        <v>5.7</v>
      </c>
      <c r="E15" s="12">
        <f>E8*$J$5/1000000</f>
        <v>5.52</v>
      </c>
      <c r="F15" s="12"/>
      <c r="G15" s="12"/>
      <c r="H15" s="5"/>
    </row>
    <row r="16" spans="1:11" x14ac:dyDescent="0.25">
      <c r="A16" s="7"/>
      <c r="B16" s="8"/>
      <c r="C16" s="8"/>
      <c r="D16" s="8"/>
      <c r="E16" s="8"/>
      <c r="F16" s="8"/>
      <c r="G16" s="8"/>
      <c r="H16" s="9"/>
    </row>
    <row r="17" spans="1:13" x14ac:dyDescent="0.25">
      <c r="K17" t="s">
        <v>553</v>
      </c>
    </row>
    <row r="18" spans="1:13" x14ac:dyDescent="0.25">
      <c r="K18" s="15"/>
      <c r="L18" s="16"/>
      <c r="M18" s="3"/>
    </row>
    <row r="19" spans="1:13" x14ac:dyDescent="0.25">
      <c r="A19" t="s">
        <v>479</v>
      </c>
      <c r="K19" s="4"/>
      <c r="L19" s="12" t="s">
        <v>552</v>
      </c>
      <c r="M19" s="5"/>
    </row>
    <row r="20" spans="1:13" x14ac:dyDescent="0.25">
      <c r="A20" s="15"/>
      <c r="B20" s="16"/>
      <c r="C20" s="16"/>
      <c r="D20" s="16"/>
      <c r="E20" s="16"/>
      <c r="F20" s="16"/>
      <c r="G20" s="16"/>
      <c r="H20" s="3"/>
      <c r="K20" s="4" t="s">
        <v>206</v>
      </c>
      <c r="L20" s="12">
        <v>2.91</v>
      </c>
      <c r="M20" s="5"/>
    </row>
    <row r="21" spans="1:13" x14ac:dyDescent="0.25">
      <c r="A21" s="4" t="s">
        <v>6</v>
      </c>
      <c r="B21" s="391">
        <v>695000</v>
      </c>
      <c r="C21" s="12" t="s">
        <v>480</v>
      </c>
      <c r="D21" s="12"/>
      <c r="E21" s="12"/>
      <c r="F21" s="12"/>
      <c r="G21" s="12"/>
      <c r="H21" s="5"/>
      <c r="K21" s="4" t="s">
        <v>551</v>
      </c>
      <c r="L21" s="12">
        <v>2.7</v>
      </c>
      <c r="M21" s="5"/>
    </row>
    <row r="22" spans="1:13" x14ac:dyDescent="0.25">
      <c r="A22" s="4" t="s">
        <v>481</v>
      </c>
      <c r="B22" s="1">
        <v>190000</v>
      </c>
      <c r="C22" s="12" t="s">
        <v>482</v>
      </c>
      <c r="D22" s="12"/>
      <c r="E22" s="12"/>
      <c r="F22" s="12"/>
      <c r="G22" s="12"/>
      <c r="H22" s="5"/>
      <c r="K22" s="7"/>
      <c r="L22" s="8"/>
      <c r="M22" s="9"/>
    </row>
    <row r="23" spans="1:13" x14ac:dyDescent="0.25">
      <c r="A23" s="4"/>
      <c r="B23" s="12"/>
      <c r="C23" s="12"/>
      <c r="D23" s="12"/>
      <c r="E23" s="12"/>
      <c r="F23" s="12"/>
      <c r="G23" s="12"/>
      <c r="H23" s="5"/>
    </row>
    <row r="24" spans="1:13" x14ac:dyDescent="0.25">
      <c r="A24" s="4" t="s">
        <v>425</v>
      </c>
      <c r="B24" s="12">
        <v>1.4</v>
      </c>
      <c r="C24" s="12" t="s">
        <v>483</v>
      </c>
      <c r="D24" s="12"/>
      <c r="E24" s="12"/>
      <c r="F24" s="12"/>
      <c r="G24" s="12"/>
      <c r="H24" s="5"/>
    </row>
    <row r="25" spans="1:13" x14ac:dyDescent="0.25">
      <c r="A25" s="4"/>
      <c r="B25" s="12"/>
      <c r="C25" s="12"/>
      <c r="D25" s="12"/>
      <c r="E25" s="12"/>
      <c r="F25" s="12"/>
      <c r="G25" s="12"/>
      <c r="H25" s="5"/>
    </row>
    <row r="26" spans="1:13" x14ac:dyDescent="0.25">
      <c r="A26" s="4"/>
      <c r="B26" s="366">
        <f>B24*1000000000/B22</f>
        <v>7368.4210526315792</v>
      </c>
      <c r="C26" s="20" t="s">
        <v>484</v>
      </c>
      <c r="D26" s="12"/>
      <c r="E26" s="12"/>
      <c r="F26" s="12"/>
      <c r="G26" s="12"/>
      <c r="H26" s="5"/>
    </row>
    <row r="27" spans="1:13" x14ac:dyDescent="0.25">
      <c r="A27" s="4"/>
      <c r="B27" s="12"/>
      <c r="C27" s="12"/>
      <c r="D27" s="12"/>
      <c r="E27" s="12"/>
      <c r="F27" s="12"/>
      <c r="G27" s="12"/>
      <c r="H27" s="5"/>
    </row>
    <row r="28" spans="1:13" x14ac:dyDescent="0.25">
      <c r="A28" s="7"/>
      <c r="B28" s="8"/>
      <c r="C28" s="8"/>
      <c r="D28" s="8"/>
      <c r="E28" s="8"/>
      <c r="F28" s="8"/>
      <c r="G28" s="8"/>
      <c r="H28" s="9"/>
    </row>
    <row r="34" spans="1:8" x14ac:dyDescent="0.25">
      <c r="A34" t="s">
        <v>447</v>
      </c>
    </row>
    <row r="35" spans="1:8" x14ac:dyDescent="0.25">
      <c r="A35" s="15"/>
      <c r="B35" s="16"/>
      <c r="C35" s="16"/>
      <c r="D35" s="16"/>
      <c r="E35" s="16"/>
      <c r="F35" s="16"/>
      <c r="G35" s="16"/>
      <c r="H35" s="3"/>
    </row>
    <row r="36" spans="1:8" x14ac:dyDescent="0.25">
      <c r="A36" s="4"/>
      <c r="B36" s="12"/>
      <c r="C36" s="12"/>
      <c r="D36" s="12"/>
      <c r="E36" s="12"/>
      <c r="F36" s="12"/>
      <c r="G36" s="12"/>
      <c r="H36" s="5"/>
    </row>
    <row r="37" spans="1:8" x14ac:dyDescent="0.25">
      <c r="A37" s="4" t="s">
        <v>448</v>
      </c>
      <c r="B37" s="12"/>
      <c r="C37" s="12"/>
      <c r="D37" s="12"/>
      <c r="E37" s="12"/>
      <c r="F37" s="12"/>
      <c r="G37" s="12"/>
      <c r="H37" s="5"/>
    </row>
    <row r="38" spans="1:8" x14ac:dyDescent="0.25">
      <c r="A38" s="4" t="s">
        <v>449</v>
      </c>
      <c r="B38" s="12"/>
      <c r="C38" s="12"/>
      <c r="D38" s="12"/>
      <c r="E38" s="12"/>
      <c r="F38" s="12"/>
      <c r="G38" s="12"/>
      <c r="H38" s="5"/>
    </row>
    <row r="39" spans="1:8" x14ac:dyDescent="0.25">
      <c r="A39" s="4"/>
      <c r="B39" s="12"/>
      <c r="C39" s="12"/>
      <c r="D39" s="12"/>
      <c r="E39" s="12"/>
      <c r="F39" s="12"/>
      <c r="G39" s="12"/>
      <c r="H39" s="5"/>
    </row>
    <row r="40" spans="1:8" x14ac:dyDescent="0.25">
      <c r="A40" s="4" t="s">
        <v>450</v>
      </c>
      <c r="B40" s="12"/>
      <c r="C40" s="12"/>
      <c r="D40" s="12"/>
      <c r="E40" s="12"/>
      <c r="F40" s="12"/>
      <c r="G40" s="12"/>
      <c r="H40" s="5"/>
    </row>
    <row r="41" spans="1:8" x14ac:dyDescent="0.25">
      <c r="A41" s="4"/>
      <c r="B41" s="12" t="s">
        <v>5</v>
      </c>
      <c r="C41" s="12" t="s">
        <v>452</v>
      </c>
      <c r="D41" s="12"/>
      <c r="E41" s="12"/>
      <c r="F41" s="12"/>
      <c r="G41" s="12"/>
      <c r="H41" s="5"/>
    </row>
    <row r="42" spans="1:8" x14ac:dyDescent="0.25">
      <c r="A42" s="4" t="s">
        <v>451</v>
      </c>
      <c r="B42" s="12">
        <v>0.4</v>
      </c>
      <c r="C42" s="12">
        <v>1.8</v>
      </c>
      <c r="D42" s="12" t="s">
        <v>190</v>
      </c>
      <c r="E42" s="12"/>
      <c r="F42" s="12"/>
      <c r="G42" s="12"/>
      <c r="H42" s="5"/>
    </row>
    <row r="43" spans="1:8" x14ac:dyDescent="0.25">
      <c r="A43" s="7"/>
      <c r="B43" s="8"/>
      <c r="C43" s="8"/>
      <c r="D43" s="8"/>
      <c r="E43" s="8"/>
      <c r="F43" s="8"/>
      <c r="G43" s="8"/>
      <c r="H43" s="9"/>
    </row>
    <row r="48" spans="1:8" x14ac:dyDescent="0.25">
      <c r="A48" s="15" t="s">
        <v>466</v>
      </c>
      <c r="B48" s="16"/>
      <c r="C48" s="16"/>
      <c r="D48" s="16"/>
      <c r="E48" s="16"/>
      <c r="F48" s="16"/>
      <c r="G48" s="16"/>
      <c r="H48" s="3"/>
    </row>
    <row r="49" spans="1:14" x14ac:dyDescent="0.25">
      <c r="A49" s="4"/>
      <c r="B49" s="12"/>
      <c r="C49" s="12"/>
      <c r="D49" s="12"/>
      <c r="E49" s="12"/>
      <c r="F49" s="12"/>
      <c r="G49" s="12"/>
      <c r="H49" s="5"/>
      <c r="M49" t="s">
        <v>596</v>
      </c>
    </row>
    <row r="50" spans="1:14" x14ac:dyDescent="0.25">
      <c r="A50" s="4"/>
      <c r="B50" s="12"/>
      <c r="C50" s="12" t="s">
        <v>474</v>
      </c>
      <c r="D50" s="12"/>
      <c r="E50" s="12"/>
      <c r="F50" s="12"/>
      <c r="G50" s="12"/>
      <c r="H50" s="5"/>
    </row>
    <row r="51" spans="1:14" x14ac:dyDescent="0.25">
      <c r="A51" s="4" t="s">
        <v>468</v>
      </c>
      <c r="B51" s="12" t="s">
        <v>470</v>
      </c>
      <c r="C51" s="1">
        <v>1088723</v>
      </c>
      <c r="D51" s="12" t="s">
        <v>467</v>
      </c>
      <c r="E51" s="12"/>
      <c r="F51" s="12" t="s">
        <v>472</v>
      </c>
      <c r="G51" s="12"/>
      <c r="H51" s="5"/>
      <c r="J51" s="133">
        <f>C51/0.52</f>
        <v>2093698.0769230768</v>
      </c>
      <c r="K51" t="s">
        <v>475</v>
      </c>
      <c r="M51" s="347">
        <f>C51/1000</f>
        <v>1088.723</v>
      </c>
      <c r="N51" t="s">
        <v>597</v>
      </c>
    </row>
    <row r="52" spans="1:14" x14ac:dyDescent="0.25">
      <c r="A52" s="4"/>
      <c r="B52" s="12"/>
      <c r="C52" s="1"/>
      <c r="D52" s="12"/>
      <c r="E52" s="12"/>
      <c r="F52" s="12"/>
      <c r="G52" s="12"/>
      <c r="H52" s="5"/>
      <c r="J52" s="133">
        <f>J51*J5/1000</f>
        <v>62810.942307692305</v>
      </c>
      <c r="K52" t="s">
        <v>476</v>
      </c>
      <c r="M52" s="349">
        <f>J52/1000</f>
        <v>62.810942307692308</v>
      </c>
      <c r="N52" t="s">
        <v>598</v>
      </c>
    </row>
    <row r="53" spans="1:14" x14ac:dyDescent="0.25">
      <c r="A53" s="4" t="s">
        <v>471</v>
      </c>
      <c r="B53" s="12" t="s">
        <v>469</v>
      </c>
      <c r="C53" s="1">
        <v>317799</v>
      </c>
      <c r="D53" s="12" t="s">
        <v>467</v>
      </c>
      <c r="E53" s="12"/>
      <c r="F53" s="12"/>
      <c r="G53" s="12"/>
      <c r="H53" s="5"/>
    </row>
    <row r="54" spans="1:14" x14ac:dyDescent="0.25">
      <c r="A54" s="4"/>
      <c r="B54" s="12"/>
      <c r="C54" s="1"/>
      <c r="D54" s="12"/>
      <c r="E54" s="12"/>
      <c r="F54" s="12"/>
      <c r="G54" s="12"/>
      <c r="H54" s="5"/>
      <c r="M54">
        <f>M51/M52</f>
        <v>17.333333333333332</v>
      </c>
      <c r="N54" t="s">
        <v>652</v>
      </c>
    </row>
    <row r="55" spans="1:14" x14ac:dyDescent="0.25">
      <c r="A55" s="4" t="s">
        <v>23</v>
      </c>
      <c r="B55" s="12" t="s">
        <v>473</v>
      </c>
      <c r="C55" s="1">
        <v>8569232</v>
      </c>
      <c r="D55" s="12" t="s">
        <v>467</v>
      </c>
      <c r="E55" s="12"/>
      <c r="F55" s="12"/>
      <c r="G55" s="12"/>
      <c r="H55" s="5"/>
    </row>
    <row r="56" spans="1:14" x14ac:dyDescent="0.25">
      <c r="A56" s="4"/>
      <c r="B56" s="12"/>
      <c r="C56" s="12"/>
      <c r="D56" s="12"/>
      <c r="E56" s="12"/>
      <c r="F56" s="12"/>
      <c r="G56" s="12"/>
      <c r="H56" s="5"/>
    </row>
    <row r="57" spans="1:14" x14ac:dyDescent="0.25">
      <c r="A57" s="7"/>
      <c r="B57" s="8"/>
      <c r="C57" s="8"/>
      <c r="D57" s="8"/>
      <c r="E57" s="8"/>
      <c r="F57" s="8"/>
      <c r="G57" s="8"/>
      <c r="H57" s="9"/>
    </row>
    <row r="62" spans="1:14" x14ac:dyDescent="0.25">
      <c r="A62" t="s">
        <v>477</v>
      </c>
    </row>
    <row r="63" spans="1:14" x14ac:dyDescent="0.25">
      <c r="A63" s="15"/>
      <c r="B63" s="16"/>
      <c r="C63" s="16"/>
      <c r="D63" s="16"/>
      <c r="E63" s="16"/>
      <c r="F63" s="16"/>
      <c r="G63" s="16"/>
      <c r="H63" s="3"/>
    </row>
    <row r="64" spans="1:14" x14ac:dyDescent="0.25">
      <c r="A64" s="4">
        <v>3043</v>
      </c>
      <c r="B64" s="12" t="s">
        <v>478</v>
      </c>
      <c r="C64" s="12"/>
      <c r="D64" s="12"/>
      <c r="E64" s="12"/>
      <c r="F64" s="12"/>
      <c r="G64" s="12"/>
      <c r="H64" s="5"/>
    </row>
    <row r="65" spans="1:12" x14ac:dyDescent="0.25">
      <c r="A65" s="4"/>
      <c r="B65" s="12"/>
      <c r="C65" s="12"/>
      <c r="D65" s="12"/>
      <c r="E65" s="12"/>
      <c r="F65" s="12"/>
      <c r="G65" s="12"/>
      <c r="H65" s="5"/>
    </row>
    <row r="66" spans="1:12" x14ac:dyDescent="0.25">
      <c r="A66" s="4"/>
      <c r="B66" s="12"/>
      <c r="C66" s="12"/>
      <c r="D66" s="12"/>
      <c r="E66" s="12"/>
      <c r="F66" s="12"/>
      <c r="G66" s="12"/>
      <c r="H66" s="5"/>
    </row>
    <row r="67" spans="1:12" x14ac:dyDescent="0.25">
      <c r="A67" s="4"/>
      <c r="B67" s="12"/>
      <c r="C67" s="12"/>
      <c r="D67" s="12"/>
      <c r="E67" s="12"/>
      <c r="F67" s="12"/>
      <c r="G67" s="12"/>
      <c r="H67" s="5"/>
    </row>
    <row r="68" spans="1:12" x14ac:dyDescent="0.25">
      <c r="A68" s="7"/>
      <c r="B68" s="8"/>
      <c r="C68" s="8"/>
      <c r="D68" s="8"/>
      <c r="E68" s="8"/>
      <c r="F68" s="8"/>
      <c r="G68" s="8"/>
      <c r="H68" s="9"/>
    </row>
    <row r="72" spans="1:12" x14ac:dyDescent="0.25">
      <c r="A72" t="s">
        <v>488</v>
      </c>
    </row>
    <row r="73" spans="1:12" x14ac:dyDescent="0.25">
      <c r="A73" s="15"/>
      <c r="B73" s="16"/>
      <c r="C73" s="16"/>
      <c r="D73" s="16"/>
      <c r="E73" s="16"/>
      <c r="F73" s="16"/>
      <c r="G73" s="16"/>
      <c r="H73" s="3"/>
    </row>
    <row r="74" spans="1:12" x14ac:dyDescent="0.25">
      <c r="A74" s="4" t="s">
        <v>489</v>
      </c>
      <c r="B74" s="12">
        <v>1.1499999999999999</v>
      </c>
      <c r="C74" s="12" t="s">
        <v>490</v>
      </c>
      <c r="D74" s="12"/>
      <c r="E74" s="12"/>
      <c r="F74" s="12"/>
      <c r="G74" s="12"/>
      <c r="H74" s="5"/>
    </row>
    <row r="75" spans="1:12" x14ac:dyDescent="0.25">
      <c r="A75" s="4"/>
      <c r="B75" s="12"/>
      <c r="C75" s="12"/>
      <c r="D75" s="12"/>
      <c r="E75" s="12"/>
      <c r="F75" s="12"/>
      <c r="G75" s="12"/>
      <c r="H75" s="5"/>
    </row>
    <row r="76" spans="1:12" x14ac:dyDescent="0.25">
      <c r="A76" s="4" t="s">
        <v>491</v>
      </c>
      <c r="B76" s="308">
        <v>0.65</v>
      </c>
      <c r="C76" s="12" t="s">
        <v>565</v>
      </c>
      <c r="D76" s="12"/>
      <c r="E76" s="12"/>
      <c r="F76" s="12"/>
      <c r="G76" s="12"/>
      <c r="H76" s="5"/>
    </row>
    <row r="77" spans="1:12" x14ac:dyDescent="0.25">
      <c r="A77" s="4" t="s">
        <v>492</v>
      </c>
      <c r="B77" s="308">
        <v>0.35</v>
      </c>
      <c r="C77" s="12" t="s">
        <v>566</v>
      </c>
      <c r="D77" s="12"/>
      <c r="E77" s="12"/>
      <c r="F77" s="12"/>
      <c r="G77" s="12"/>
      <c r="H77" s="5"/>
    </row>
    <row r="78" spans="1:12" x14ac:dyDescent="0.25">
      <c r="A78" s="4"/>
      <c r="B78" s="12"/>
      <c r="C78" s="12"/>
      <c r="D78" s="12"/>
      <c r="E78" s="12"/>
      <c r="F78" s="12"/>
      <c r="G78" s="12"/>
      <c r="H78" s="5"/>
    </row>
    <row r="79" spans="1:12" x14ac:dyDescent="0.25">
      <c r="A79" s="4" t="s">
        <v>495</v>
      </c>
      <c r="B79" s="12"/>
      <c r="C79" s="12"/>
      <c r="D79" s="12"/>
      <c r="E79" s="12"/>
      <c r="F79" s="12"/>
      <c r="G79" s="12"/>
      <c r="H79" s="5"/>
    </row>
    <row r="80" spans="1:12" x14ac:dyDescent="0.25">
      <c r="A80" s="4"/>
      <c r="B80" s="12" t="s">
        <v>494</v>
      </c>
      <c r="C80" s="12"/>
      <c r="D80" s="12"/>
      <c r="E80" s="12"/>
      <c r="F80" s="12"/>
      <c r="G80" s="12"/>
      <c r="H80" s="5"/>
      <c r="J80" t="s">
        <v>435</v>
      </c>
      <c r="L80" t="s">
        <v>496</v>
      </c>
    </row>
    <row r="81" spans="1:15" x14ac:dyDescent="0.25">
      <c r="A81" s="4" t="s">
        <v>11</v>
      </c>
      <c r="B81" s="12">
        <v>350</v>
      </c>
      <c r="C81" s="12"/>
      <c r="D81" s="12"/>
      <c r="E81" s="12"/>
      <c r="F81" s="12"/>
      <c r="G81" s="12"/>
      <c r="H81" s="5"/>
      <c r="J81" s="12">
        <v>30</v>
      </c>
      <c r="K81" s="12"/>
      <c r="L81" s="1">
        <f>J81*B81</f>
        <v>10500</v>
      </c>
    </row>
    <row r="82" spans="1:15" x14ac:dyDescent="0.25">
      <c r="A82" s="4" t="s">
        <v>493</v>
      </c>
      <c r="B82" s="12">
        <v>41</v>
      </c>
      <c r="C82" s="12"/>
      <c r="D82" s="12"/>
      <c r="E82" s="12"/>
      <c r="F82" s="12"/>
      <c r="G82" s="12"/>
      <c r="H82" s="5"/>
      <c r="J82" s="12">
        <v>30</v>
      </c>
      <c r="K82" s="12"/>
      <c r="L82" s="1">
        <f>J82*B82</f>
        <v>1230</v>
      </c>
    </row>
    <row r="83" spans="1:15" x14ac:dyDescent="0.25">
      <c r="A83" s="4" t="s">
        <v>13</v>
      </c>
      <c r="B83" s="12">
        <v>160</v>
      </c>
      <c r="C83" s="12"/>
      <c r="D83" s="12"/>
      <c r="E83" s="12"/>
      <c r="F83" s="12"/>
      <c r="G83" s="12"/>
      <c r="H83" s="5"/>
      <c r="J83" s="12">
        <v>24</v>
      </c>
      <c r="K83" s="12"/>
      <c r="L83" s="1">
        <f>J83*B83</f>
        <v>3840</v>
      </c>
    </row>
    <row r="84" spans="1:15" x14ac:dyDescent="0.25">
      <c r="A84" s="4"/>
      <c r="B84" s="12"/>
      <c r="C84" s="12"/>
      <c r="D84" s="12"/>
      <c r="E84" s="12"/>
      <c r="F84" s="12"/>
      <c r="G84" s="12"/>
      <c r="H84" s="5"/>
      <c r="I84" s="12"/>
      <c r="K84" t="s">
        <v>504</v>
      </c>
      <c r="L84" s="393">
        <f>SUM(L81:L83)</f>
        <v>15570</v>
      </c>
      <c r="M84" s="136" t="s">
        <v>497</v>
      </c>
    </row>
    <row r="85" spans="1:15" x14ac:dyDescent="0.25">
      <c r="A85" s="4"/>
      <c r="B85" s="12"/>
      <c r="C85" s="12"/>
      <c r="D85" s="12"/>
      <c r="E85" s="12"/>
      <c r="F85" s="12"/>
      <c r="G85" s="12"/>
      <c r="H85" s="5"/>
      <c r="I85" s="12"/>
      <c r="K85" t="s">
        <v>11</v>
      </c>
      <c r="L85" s="396">
        <f>L81+L82</f>
        <v>11730</v>
      </c>
      <c r="M85" s="136" t="s">
        <v>497</v>
      </c>
    </row>
    <row r="86" spans="1:15" x14ac:dyDescent="0.25">
      <c r="A86" s="354" t="s">
        <v>498</v>
      </c>
      <c r="B86" s="20">
        <v>1.8</v>
      </c>
      <c r="C86" s="12" t="s">
        <v>499</v>
      </c>
      <c r="D86" s="12"/>
      <c r="E86" s="12"/>
      <c r="F86" s="12"/>
      <c r="G86" s="12"/>
      <c r="H86" s="5"/>
      <c r="K86" t="s">
        <v>13</v>
      </c>
      <c r="L86" s="396">
        <f>L83</f>
        <v>3840</v>
      </c>
      <c r="M86" s="136" t="s">
        <v>497</v>
      </c>
    </row>
    <row r="87" spans="1:15" x14ac:dyDescent="0.25">
      <c r="A87" s="7"/>
      <c r="B87" s="8"/>
      <c r="C87" s="8"/>
      <c r="D87" s="8"/>
      <c r="E87" s="8"/>
      <c r="F87" s="8"/>
      <c r="G87" s="8"/>
      <c r="H87" s="9"/>
    </row>
    <row r="91" spans="1:15" ht="15.75" x14ac:dyDescent="0.25">
      <c r="M91" s="23"/>
    </row>
    <row r="92" spans="1:15" x14ac:dyDescent="0.25">
      <c r="J92" s="349"/>
    </row>
    <row r="93" spans="1:15" x14ac:dyDescent="0.25">
      <c r="O93" s="349"/>
    </row>
    <row r="94" spans="1:15" x14ac:dyDescent="0.25">
      <c r="B94" t="s">
        <v>653</v>
      </c>
      <c r="J94" s="367"/>
      <c r="O94" s="349"/>
    </row>
    <row r="95" spans="1:15" x14ac:dyDescent="0.25">
      <c r="B95" t="s">
        <v>665</v>
      </c>
      <c r="J95" s="367"/>
    </row>
    <row r="96" spans="1:15" ht="15.75" thickBot="1" x14ac:dyDescent="0.3">
      <c r="B96" s="471"/>
      <c r="C96" s="471" t="s">
        <v>654</v>
      </c>
      <c r="D96" s="471" t="s">
        <v>655</v>
      </c>
      <c r="E96" s="471" t="s">
        <v>656</v>
      </c>
      <c r="F96" s="471" t="s">
        <v>657</v>
      </c>
      <c r="G96" s="471" t="s">
        <v>658</v>
      </c>
      <c r="J96" s="133"/>
    </row>
    <row r="97" spans="2:11" ht="29.25" thickBot="1" x14ac:dyDescent="0.3">
      <c r="B97" s="472" t="s">
        <v>659</v>
      </c>
      <c r="C97" s="473" t="s">
        <v>660</v>
      </c>
      <c r="D97" s="473" t="s">
        <v>661</v>
      </c>
      <c r="E97" s="473" t="s">
        <v>662</v>
      </c>
      <c r="F97" s="473" t="s">
        <v>663</v>
      </c>
      <c r="G97" s="473">
        <v>179.47</v>
      </c>
      <c r="H97" s="474" t="s">
        <v>664</v>
      </c>
    </row>
    <row r="98" spans="2:11" x14ac:dyDescent="0.25">
      <c r="J98" s="133"/>
    </row>
    <row r="100" spans="2:11" x14ac:dyDescent="0.25">
      <c r="G100">
        <f>G97*16</f>
        <v>2871.52</v>
      </c>
      <c r="H100" t="s">
        <v>484</v>
      </c>
      <c r="J100" s="348">
        <v>29</v>
      </c>
      <c r="K100" t="s">
        <v>149</v>
      </c>
    </row>
    <row r="101" spans="2:11" x14ac:dyDescent="0.25">
      <c r="G101" s="349">
        <f>G100/J100</f>
        <v>99.017931034482757</v>
      </c>
      <c r="H101" t="s">
        <v>666</v>
      </c>
    </row>
  </sheetData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C97E4-D26F-4833-BEC4-2DDC69F4F67E}">
  <sheetPr>
    <tabColor theme="4" tint="-0.249977111117893"/>
  </sheetPr>
  <dimension ref="A2:J123"/>
  <sheetViews>
    <sheetView zoomScale="85" zoomScaleNormal="85" workbookViewId="0">
      <selection activeCell="H131" sqref="H131"/>
    </sheetView>
  </sheetViews>
  <sheetFormatPr defaultColWidth="12.85546875" defaultRowHeight="15.75" x14ac:dyDescent="0.25"/>
  <cols>
    <col min="1" max="1" width="10.28515625" style="23" bestFit="1" customWidth="1"/>
    <col min="2" max="2" width="24.85546875" style="23" bestFit="1" customWidth="1"/>
    <col min="3" max="3" width="25.7109375" style="23" bestFit="1" customWidth="1"/>
    <col min="4" max="4" width="19.42578125" style="23" customWidth="1"/>
    <col min="5" max="8" width="12.85546875" style="23"/>
    <col min="9" max="9" width="44.28515625" style="23" bestFit="1" customWidth="1"/>
    <col min="10" max="10" width="44.85546875" style="23" bestFit="1" customWidth="1"/>
    <col min="11" max="16384" width="12.85546875" style="23"/>
  </cols>
  <sheetData>
    <row r="2" spans="1:10" ht="20.25" thickBot="1" x14ac:dyDescent="0.35">
      <c r="A2" s="22" t="s">
        <v>673</v>
      </c>
    </row>
    <row r="3" spans="1:10" ht="16.5" thickTop="1" x14ac:dyDescent="0.25"/>
    <row r="4" spans="1:10" x14ac:dyDescent="0.25">
      <c r="B4" s="72" t="s">
        <v>674</v>
      </c>
      <c r="C4" s="476" t="s">
        <v>675</v>
      </c>
      <c r="D4" s="23" t="s">
        <v>738</v>
      </c>
      <c r="E4" s="100">
        <v>1.3012729844413011</v>
      </c>
      <c r="F4" s="23" t="s">
        <v>739</v>
      </c>
    </row>
    <row r="5" spans="1:10" x14ac:dyDescent="0.25">
      <c r="B5" s="72" t="s">
        <v>676</v>
      </c>
      <c r="C5" s="476">
        <v>2010</v>
      </c>
    </row>
    <row r="7" spans="1:10" ht="18" thickBot="1" x14ac:dyDescent="0.35">
      <c r="B7" s="24" t="s">
        <v>733</v>
      </c>
    </row>
    <row r="8" spans="1:10" ht="16.5" thickTop="1" x14ac:dyDescent="0.25">
      <c r="B8" s="477"/>
      <c r="C8" s="478"/>
      <c r="D8" s="478" t="s">
        <v>677</v>
      </c>
      <c r="E8" s="478" t="s">
        <v>678</v>
      </c>
      <c r="F8" s="478" t="s">
        <v>679</v>
      </c>
      <c r="G8" s="478" t="s">
        <v>680</v>
      </c>
      <c r="H8" s="478" t="s">
        <v>681</v>
      </c>
      <c r="I8" s="478" t="s">
        <v>734</v>
      </c>
      <c r="J8" s="479" t="s">
        <v>564</v>
      </c>
    </row>
    <row r="9" spans="1:10" x14ac:dyDescent="0.25">
      <c r="B9" s="80"/>
      <c r="C9" s="92"/>
      <c r="D9" s="92" t="s">
        <v>682</v>
      </c>
      <c r="E9" s="92" t="s">
        <v>683</v>
      </c>
      <c r="F9" s="92"/>
      <c r="G9" s="92"/>
      <c r="H9" s="92"/>
      <c r="I9" s="92"/>
      <c r="J9" s="480"/>
    </row>
    <row r="10" spans="1:10" x14ac:dyDescent="0.25">
      <c r="B10" s="91" t="s">
        <v>232</v>
      </c>
      <c r="C10" s="74" t="s">
        <v>247</v>
      </c>
      <c r="D10" s="74" t="s">
        <v>684</v>
      </c>
      <c r="E10" s="74">
        <v>98</v>
      </c>
      <c r="F10" s="74" t="s">
        <v>685</v>
      </c>
      <c r="G10" s="481">
        <v>2011</v>
      </c>
      <c r="H10" s="74">
        <v>7.5574381672222009</v>
      </c>
      <c r="I10" s="486">
        <f>H10*E10</f>
        <v>740.62894038777563</v>
      </c>
      <c r="J10" s="482" t="s">
        <v>686</v>
      </c>
    </row>
    <row r="11" spans="1:10" x14ac:dyDescent="0.25">
      <c r="B11" s="60"/>
      <c r="C11" s="74" t="s">
        <v>687</v>
      </c>
      <c r="D11" s="74" t="s">
        <v>684</v>
      </c>
      <c r="E11" s="74">
        <v>43.89</v>
      </c>
      <c r="F11" s="74" t="s">
        <v>685</v>
      </c>
      <c r="G11" s="481">
        <v>2000</v>
      </c>
      <c r="H11" s="74">
        <v>5.914974034351558</v>
      </c>
      <c r="I11" s="486">
        <f>H11*E11</f>
        <v>259.60821036768988</v>
      </c>
      <c r="J11" s="482" t="s">
        <v>688</v>
      </c>
    </row>
    <row r="12" spans="1:10" x14ac:dyDescent="0.25">
      <c r="B12" s="72"/>
      <c r="C12" s="74" t="s">
        <v>689</v>
      </c>
      <c r="D12" s="74" t="s">
        <v>684</v>
      </c>
      <c r="E12" s="74">
        <v>340</v>
      </c>
      <c r="F12" s="74" t="s">
        <v>685</v>
      </c>
      <c r="G12" s="481">
        <v>2011</v>
      </c>
      <c r="H12" s="74">
        <v>7.5574381672222009</v>
      </c>
      <c r="I12" s="486">
        <f t="shared" ref="I12:I27" si="0">H12*E12</f>
        <v>2569.5289768555481</v>
      </c>
      <c r="J12" s="482" t="s">
        <v>686</v>
      </c>
    </row>
    <row r="13" spans="1:10" x14ac:dyDescent="0.25">
      <c r="B13" s="72"/>
      <c r="C13" s="74" t="s">
        <v>690</v>
      </c>
      <c r="D13" s="74" t="s">
        <v>691</v>
      </c>
      <c r="E13" s="74">
        <v>9.5000000000000001E-2</v>
      </c>
      <c r="F13" s="74" t="s">
        <v>685</v>
      </c>
      <c r="G13" s="481">
        <v>2011</v>
      </c>
      <c r="H13" s="74">
        <v>7.5574381672222009</v>
      </c>
      <c r="I13" s="486">
        <f t="shared" si="0"/>
        <v>0.71795662588610909</v>
      </c>
      <c r="J13" s="482" t="s">
        <v>686</v>
      </c>
    </row>
    <row r="14" spans="1:10" x14ac:dyDescent="0.25">
      <c r="B14" s="72"/>
      <c r="C14" s="74" t="s">
        <v>692</v>
      </c>
      <c r="D14" s="74" t="s">
        <v>684</v>
      </c>
      <c r="E14" s="74">
        <v>90.02</v>
      </c>
      <c r="F14" s="74" t="s">
        <v>685</v>
      </c>
      <c r="G14" s="481">
        <v>2000</v>
      </c>
      <c r="H14" s="74">
        <v>5.914974034351558</v>
      </c>
      <c r="I14" s="486">
        <f t="shared" si="0"/>
        <v>532.46596257232727</v>
      </c>
      <c r="J14" s="482" t="s">
        <v>688</v>
      </c>
    </row>
    <row r="15" spans="1:10" x14ac:dyDescent="0.25">
      <c r="B15" s="72"/>
      <c r="C15" s="74" t="s">
        <v>693</v>
      </c>
      <c r="D15" s="74" t="s">
        <v>684</v>
      </c>
      <c r="E15" s="74">
        <v>77.83</v>
      </c>
      <c r="F15" s="74" t="s">
        <v>685</v>
      </c>
      <c r="G15" s="481">
        <v>2000</v>
      </c>
      <c r="H15" s="74">
        <v>5.914974034351558</v>
      </c>
      <c r="I15" s="486">
        <f t="shared" si="0"/>
        <v>460.36242909358174</v>
      </c>
      <c r="J15" s="482" t="s">
        <v>688</v>
      </c>
    </row>
    <row r="16" spans="1:10" x14ac:dyDescent="0.25">
      <c r="B16" s="72"/>
      <c r="C16" s="74" t="s">
        <v>694</v>
      </c>
      <c r="D16" s="74" t="s">
        <v>684</v>
      </c>
      <c r="E16" s="74">
        <v>1175</v>
      </c>
      <c r="F16" s="74" t="s">
        <v>685</v>
      </c>
      <c r="G16" s="481">
        <v>2011</v>
      </c>
      <c r="H16" s="74">
        <v>7.5574381672222009</v>
      </c>
      <c r="I16" s="486">
        <f t="shared" si="0"/>
        <v>8879.9898464860853</v>
      </c>
      <c r="J16" s="482" t="s">
        <v>686</v>
      </c>
    </row>
    <row r="17" spans="2:10" x14ac:dyDescent="0.25">
      <c r="B17" s="72"/>
      <c r="C17" s="74" t="s">
        <v>249</v>
      </c>
      <c r="D17" s="74" t="s">
        <v>684</v>
      </c>
      <c r="E17" s="74">
        <v>50</v>
      </c>
      <c r="F17" s="74" t="s">
        <v>685</v>
      </c>
      <c r="G17" s="481">
        <v>2011</v>
      </c>
      <c r="H17" s="74">
        <v>7.5574381672222009</v>
      </c>
      <c r="I17" s="486">
        <f t="shared" si="0"/>
        <v>377.87190836111006</v>
      </c>
      <c r="J17" s="482" t="s">
        <v>686</v>
      </c>
    </row>
    <row r="18" spans="2:10" x14ac:dyDescent="0.25">
      <c r="B18" s="72"/>
      <c r="C18" s="74" t="s">
        <v>695</v>
      </c>
      <c r="D18" s="74" t="s">
        <v>684</v>
      </c>
      <c r="E18" s="74">
        <v>490.53</v>
      </c>
      <c r="F18" s="74" t="s">
        <v>685</v>
      </c>
      <c r="G18" s="481">
        <v>2000</v>
      </c>
      <c r="H18" s="74">
        <v>5.914974034351558</v>
      </c>
      <c r="I18" s="486">
        <f t="shared" si="0"/>
        <v>2901.4722130704695</v>
      </c>
      <c r="J18" s="482" t="s">
        <v>688</v>
      </c>
    </row>
    <row r="19" spans="2:10" x14ac:dyDescent="0.25">
      <c r="B19" s="72"/>
      <c r="C19" s="74" t="s">
        <v>696</v>
      </c>
      <c r="D19" s="74" t="s">
        <v>684</v>
      </c>
      <c r="E19" s="74">
        <v>5800</v>
      </c>
      <c r="F19" s="74" t="s">
        <v>685</v>
      </c>
      <c r="G19" s="481">
        <v>2011</v>
      </c>
      <c r="H19" s="74">
        <v>7.5574381672222009</v>
      </c>
      <c r="I19" s="486">
        <f t="shared" si="0"/>
        <v>43833.141369888763</v>
      </c>
      <c r="J19" s="482" t="s">
        <v>686</v>
      </c>
    </row>
    <row r="20" spans="2:10" x14ac:dyDescent="0.25">
      <c r="B20" s="72"/>
      <c r="C20" s="74" t="s">
        <v>697</v>
      </c>
      <c r="D20" s="74" t="s">
        <v>684</v>
      </c>
      <c r="E20" s="74">
        <v>648</v>
      </c>
      <c r="F20" s="74" t="s">
        <v>685</v>
      </c>
      <c r="G20" s="481">
        <v>2011</v>
      </c>
      <c r="H20" s="74">
        <v>7.5574381672222009</v>
      </c>
      <c r="I20" s="486">
        <f t="shared" si="0"/>
        <v>4897.2199323599862</v>
      </c>
      <c r="J20" s="482" t="s">
        <v>686</v>
      </c>
    </row>
    <row r="21" spans="2:10" x14ac:dyDescent="0.25">
      <c r="B21" s="91" t="s">
        <v>698</v>
      </c>
      <c r="C21" s="74" t="s">
        <v>699</v>
      </c>
      <c r="D21" s="74" t="s">
        <v>684</v>
      </c>
      <c r="E21" s="74">
        <v>9.25</v>
      </c>
      <c r="F21" s="74" t="s">
        <v>685</v>
      </c>
      <c r="G21" s="481">
        <v>2011</v>
      </c>
      <c r="H21" s="74">
        <v>7.5574381672222009</v>
      </c>
      <c r="I21" s="486">
        <f t="shared" si="0"/>
        <v>69.906303046805363</v>
      </c>
      <c r="J21" s="482" t="s">
        <v>686</v>
      </c>
    </row>
    <row r="22" spans="2:10" x14ac:dyDescent="0.25">
      <c r="B22" s="72"/>
      <c r="C22" s="74" t="s">
        <v>700</v>
      </c>
      <c r="D22" s="74" t="s">
        <v>684</v>
      </c>
      <c r="E22" s="74">
        <v>5</v>
      </c>
      <c r="F22" s="74" t="s">
        <v>685</v>
      </c>
      <c r="G22" s="481">
        <v>2011</v>
      </c>
      <c r="H22" s="74">
        <v>7.5574381672222009</v>
      </c>
      <c r="I22" s="486">
        <f t="shared" si="0"/>
        <v>37.787190836111002</v>
      </c>
      <c r="J22" s="482" t="s">
        <v>686</v>
      </c>
    </row>
    <row r="23" spans="2:10" x14ac:dyDescent="0.25">
      <c r="B23" s="72"/>
      <c r="C23" s="74" t="s">
        <v>701</v>
      </c>
      <c r="D23" s="74" t="s">
        <v>684</v>
      </c>
      <c r="E23" s="74">
        <v>13.25</v>
      </c>
      <c r="F23" s="74" t="s">
        <v>685</v>
      </c>
      <c r="G23" s="481">
        <v>2011</v>
      </c>
      <c r="H23" s="74">
        <v>7.5574381672222009</v>
      </c>
      <c r="I23" s="486">
        <f t="shared" si="0"/>
        <v>100.13605571569416</v>
      </c>
      <c r="J23" s="482" t="s">
        <v>686</v>
      </c>
    </row>
    <row r="24" spans="2:10" x14ac:dyDescent="0.25">
      <c r="B24" s="91" t="s">
        <v>702</v>
      </c>
      <c r="C24" s="74" t="s">
        <v>703</v>
      </c>
      <c r="D24" s="74" t="s">
        <v>704</v>
      </c>
      <c r="E24" s="74">
        <v>37.700000000000003</v>
      </c>
      <c r="F24" s="74" t="s">
        <v>685</v>
      </c>
      <c r="G24" s="481">
        <v>2011</v>
      </c>
      <c r="H24" s="74">
        <v>7.5574381672222009</v>
      </c>
      <c r="I24" s="486">
        <f t="shared" si="0"/>
        <v>284.91541890427698</v>
      </c>
      <c r="J24" s="482" t="s">
        <v>686</v>
      </c>
    </row>
    <row r="25" spans="2:10" x14ac:dyDescent="0.25">
      <c r="B25" s="72"/>
      <c r="C25" s="74" t="s">
        <v>705</v>
      </c>
      <c r="D25" s="74"/>
      <c r="E25" s="74"/>
      <c r="F25" s="74" t="s">
        <v>685</v>
      </c>
      <c r="G25" s="481">
        <v>2011</v>
      </c>
      <c r="H25" s="74">
        <v>7.5574381672222009</v>
      </c>
      <c r="I25" s="486">
        <f>H25*E25</f>
        <v>0</v>
      </c>
      <c r="J25" s="482" t="s">
        <v>686</v>
      </c>
    </row>
    <row r="26" spans="2:10" x14ac:dyDescent="0.25">
      <c r="B26" s="72"/>
      <c r="C26" s="74" t="s">
        <v>706</v>
      </c>
      <c r="D26" s="483" t="s">
        <v>707</v>
      </c>
      <c r="E26" s="74">
        <v>15</v>
      </c>
      <c r="F26" s="74" t="s">
        <v>685</v>
      </c>
      <c r="G26" s="481">
        <v>2011</v>
      </c>
      <c r="H26" s="74">
        <v>7.5574381672222009</v>
      </c>
      <c r="I26" s="486">
        <f t="shared" si="0"/>
        <v>113.36157250833301</v>
      </c>
      <c r="J26" s="482" t="s">
        <v>686</v>
      </c>
    </row>
    <row r="27" spans="2:10" x14ac:dyDescent="0.25">
      <c r="B27" s="72"/>
      <c r="C27" s="74" t="s">
        <v>708</v>
      </c>
      <c r="D27" s="483" t="s">
        <v>707</v>
      </c>
      <c r="E27" s="74">
        <v>-31.8</v>
      </c>
      <c r="F27" s="74" t="s">
        <v>685</v>
      </c>
      <c r="G27" s="481">
        <v>2011</v>
      </c>
      <c r="H27" s="74">
        <v>7.5574381672222009</v>
      </c>
      <c r="I27" s="486">
        <f t="shared" si="0"/>
        <v>-240.326533717666</v>
      </c>
      <c r="J27" s="482" t="s">
        <v>686</v>
      </c>
    </row>
    <row r="33" spans="2:9" ht="18" thickBot="1" x14ac:dyDescent="0.35">
      <c r="B33" s="24" t="s">
        <v>709</v>
      </c>
    </row>
    <row r="34" spans="2:9" ht="16.5" thickTop="1" x14ac:dyDescent="0.25">
      <c r="B34" s="477"/>
      <c r="C34" s="478"/>
      <c r="D34" s="478" t="s">
        <v>710</v>
      </c>
      <c r="E34" s="478" t="s">
        <v>677</v>
      </c>
      <c r="F34" s="478" t="s">
        <v>7</v>
      </c>
      <c r="G34" s="478"/>
      <c r="H34" s="478" t="s">
        <v>7</v>
      </c>
      <c r="I34" s="479" t="s">
        <v>711</v>
      </c>
    </row>
    <row r="35" spans="2:9" x14ac:dyDescent="0.25">
      <c r="B35" s="80"/>
      <c r="C35" s="92"/>
      <c r="D35" s="92"/>
      <c r="E35" s="92"/>
      <c r="F35" s="92" t="s">
        <v>712</v>
      </c>
      <c r="G35" s="92"/>
      <c r="H35" s="484" t="s">
        <v>713</v>
      </c>
      <c r="I35" s="480"/>
    </row>
    <row r="36" spans="2:9" x14ac:dyDescent="0.25">
      <c r="B36" s="72" t="s">
        <v>714</v>
      </c>
      <c r="C36" s="74" t="s">
        <v>247</v>
      </c>
      <c r="D36" s="74" t="s">
        <v>715</v>
      </c>
      <c r="E36" s="74" t="s">
        <v>716</v>
      </c>
      <c r="F36" s="74">
        <v>1.508</v>
      </c>
      <c r="G36" s="74">
        <f>VLOOKUP(C36,$C$10:$J$27,7,FALSE)</f>
        <v>740.62894038777563</v>
      </c>
      <c r="H36" s="74">
        <f>G36*F36</f>
        <v>1116.8684421047656</v>
      </c>
      <c r="I36" s="476" t="s">
        <v>717</v>
      </c>
    </row>
    <row r="37" spans="2:9" x14ac:dyDescent="0.25">
      <c r="B37" s="72"/>
      <c r="C37" s="74" t="s">
        <v>699</v>
      </c>
      <c r="D37" s="74" t="s">
        <v>718</v>
      </c>
      <c r="E37" s="74" t="s">
        <v>716</v>
      </c>
      <c r="F37" s="74">
        <v>1.508</v>
      </c>
      <c r="G37" s="74">
        <f t="shared" ref="G37:G51" si="1">VLOOKUP(C37,$C$10:$J$27,7,FALSE)</f>
        <v>69.906303046805363</v>
      </c>
      <c r="H37" s="74">
        <f t="shared" ref="H37:H48" si="2">G37*F37</f>
        <v>105.41870499458248</v>
      </c>
      <c r="I37" s="476" t="s">
        <v>717</v>
      </c>
    </row>
    <row r="38" spans="2:9" x14ac:dyDescent="0.25">
      <c r="B38" s="72"/>
      <c r="C38" s="74" t="s">
        <v>689</v>
      </c>
      <c r="D38" s="74" t="s">
        <v>715</v>
      </c>
      <c r="E38" s="74" t="s">
        <v>716</v>
      </c>
      <c r="F38" s="74">
        <v>0.14099999999999999</v>
      </c>
      <c r="G38" s="74">
        <f t="shared" si="1"/>
        <v>2569.5289768555481</v>
      </c>
      <c r="H38" s="74">
        <f t="shared" si="2"/>
        <v>362.30358573663227</v>
      </c>
      <c r="I38" s="476" t="s">
        <v>717</v>
      </c>
    </row>
    <row r="39" spans="2:9" x14ac:dyDescent="0.25">
      <c r="B39" s="72"/>
      <c r="C39" s="74" t="s">
        <v>700</v>
      </c>
      <c r="D39" s="74" t="s">
        <v>718</v>
      </c>
      <c r="E39" s="74" t="s">
        <v>716</v>
      </c>
      <c r="F39" s="74">
        <v>0.14099999999999999</v>
      </c>
      <c r="G39" s="74">
        <f t="shared" si="1"/>
        <v>37.787190836111002</v>
      </c>
      <c r="H39" s="74">
        <f t="shared" si="2"/>
        <v>5.3279939078916509</v>
      </c>
      <c r="I39" s="476" t="s">
        <v>717</v>
      </c>
    </row>
    <row r="40" spans="2:9" x14ac:dyDescent="0.25">
      <c r="B40" s="72"/>
      <c r="C40" s="74" t="s">
        <v>701</v>
      </c>
      <c r="D40" s="74" t="s">
        <v>718</v>
      </c>
      <c r="E40" s="74" t="s">
        <v>716</v>
      </c>
      <c r="F40" s="74">
        <v>0.877</v>
      </c>
      <c r="G40" s="74">
        <f t="shared" si="1"/>
        <v>100.13605571569416</v>
      </c>
      <c r="H40" s="74">
        <f t="shared" si="2"/>
        <v>87.819320862663773</v>
      </c>
      <c r="I40" s="476" t="s">
        <v>717</v>
      </c>
    </row>
    <row r="41" spans="2:9" x14ac:dyDescent="0.25">
      <c r="B41" s="72"/>
      <c r="C41" s="74" t="s">
        <v>690</v>
      </c>
      <c r="D41" s="74" t="s">
        <v>715</v>
      </c>
      <c r="E41" s="74" t="s">
        <v>719</v>
      </c>
      <c r="F41" s="74">
        <v>210</v>
      </c>
      <c r="G41" s="74">
        <f t="shared" si="1"/>
        <v>0.71795662588610909</v>
      </c>
      <c r="H41" s="74">
        <f t="shared" si="2"/>
        <v>150.77089143608291</v>
      </c>
      <c r="I41" s="476" t="s">
        <v>717</v>
      </c>
    </row>
    <row r="42" spans="2:9" x14ac:dyDescent="0.25">
      <c r="B42" s="72"/>
      <c r="C42" s="74" t="s">
        <v>694</v>
      </c>
      <c r="D42" s="74" t="s">
        <v>715</v>
      </c>
      <c r="E42" s="74" t="s">
        <v>716</v>
      </c>
      <c r="F42" s="74">
        <v>1.4E-2</v>
      </c>
      <c r="G42" s="74">
        <f t="shared" si="1"/>
        <v>8879.9898464860853</v>
      </c>
      <c r="H42" s="74">
        <f t="shared" si="2"/>
        <v>124.31985785080519</v>
      </c>
      <c r="I42" s="476" t="s">
        <v>717</v>
      </c>
    </row>
    <row r="43" spans="2:9" x14ac:dyDescent="0.25">
      <c r="B43" s="72"/>
      <c r="C43" s="74" t="s">
        <v>249</v>
      </c>
      <c r="D43" s="74" t="s">
        <v>715</v>
      </c>
      <c r="E43" s="74" t="s">
        <v>716</v>
      </c>
      <c r="F43" s="74">
        <v>0.497</v>
      </c>
      <c r="G43" s="74">
        <f t="shared" si="1"/>
        <v>377.87190836111006</v>
      </c>
      <c r="H43" s="74">
        <f t="shared" si="2"/>
        <v>187.8023384554717</v>
      </c>
      <c r="I43" s="476" t="s">
        <v>717</v>
      </c>
    </row>
    <row r="44" spans="2:9" x14ac:dyDescent="0.25">
      <c r="B44" s="72"/>
      <c r="C44" s="74" t="s">
        <v>696</v>
      </c>
      <c r="D44" s="74" t="s">
        <v>715</v>
      </c>
      <c r="E44" s="74" t="s">
        <v>716</v>
      </c>
      <c r="F44" s="74">
        <v>0</v>
      </c>
      <c r="G44" s="74">
        <f t="shared" si="1"/>
        <v>43833.141369888763</v>
      </c>
      <c r="H44" s="74">
        <f t="shared" si="2"/>
        <v>0</v>
      </c>
      <c r="I44" s="476" t="s">
        <v>717</v>
      </c>
    </row>
    <row r="45" spans="2:9" x14ac:dyDescent="0.25">
      <c r="B45" s="72"/>
      <c r="C45" s="74" t="s">
        <v>697</v>
      </c>
      <c r="D45" s="74" t="s">
        <v>715</v>
      </c>
      <c r="E45" s="74" t="s">
        <v>716</v>
      </c>
      <c r="F45" s="74">
        <v>8.9999999999999993E-3</v>
      </c>
      <c r="G45" s="74">
        <f t="shared" si="1"/>
        <v>4897.2199323599862</v>
      </c>
      <c r="H45" s="74">
        <f t="shared" si="2"/>
        <v>44.074979391239872</v>
      </c>
      <c r="I45" s="476" t="s">
        <v>717</v>
      </c>
    </row>
    <row r="46" spans="2:9" x14ac:dyDescent="0.25">
      <c r="B46" s="72" t="s">
        <v>702</v>
      </c>
      <c r="C46" s="74" t="s">
        <v>703</v>
      </c>
      <c r="D46" s="74" t="s">
        <v>715</v>
      </c>
      <c r="E46" s="74" t="s">
        <v>720</v>
      </c>
      <c r="F46" s="74">
        <v>0.65</v>
      </c>
      <c r="G46" s="74">
        <f t="shared" si="1"/>
        <v>284.91541890427698</v>
      </c>
      <c r="H46" s="74">
        <f t="shared" si="2"/>
        <v>185.19502228778003</v>
      </c>
      <c r="I46" s="476" t="s">
        <v>717</v>
      </c>
    </row>
    <row r="47" spans="2:9" x14ac:dyDescent="0.25">
      <c r="B47" s="72"/>
      <c r="C47" s="74" t="s">
        <v>706</v>
      </c>
      <c r="D47" s="74"/>
      <c r="E47" s="74"/>
      <c r="F47" s="74">
        <v>1</v>
      </c>
      <c r="G47" s="74">
        <f t="shared" si="1"/>
        <v>113.36157250833301</v>
      </c>
      <c r="H47" s="74">
        <f t="shared" si="2"/>
        <v>113.36157250833301</v>
      </c>
      <c r="I47" s="476" t="s">
        <v>717</v>
      </c>
    </row>
    <row r="48" spans="2:9" x14ac:dyDescent="0.25">
      <c r="B48" s="72"/>
      <c r="C48" s="74" t="s">
        <v>708</v>
      </c>
      <c r="D48" s="74" t="s">
        <v>715</v>
      </c>
      <c r="E48" s="74" t="s">
        <v>716</v>
      </c>
      <c r="F48" s="74">
        <v>1</v>
      </c>
      <c r="G48" s="74">
        <f t="shared" si="1"/>
        <v>-240.326533717666</v>
      </c>
      <c r="H48" s="74">
        <f t="shared" si="2"/>
        <v>-240.326533717666</v>
      </c>
      <c r="I48" s="476" t="s">
        <v>717</v>
      </c>
    </row>
    <row r="49" spans="2:9" x14ac:dyDescent="0.25">
      <c r="B49" s="72"/>
      <c r="C49" s="74" t="s">
        <v>721</v>
      </c>
      <c r="D49" s="74"/>
      <c r="E49" s="74"/>
      <c r="F49" s="74"/>
      <c r="G49" s="74" t="e">
        <f t="shared" si="1"/>
        <v>#N/A</v>
      </c>
      <c r="H49" s="74"/>
      <c r="I49" s="476" t="s">
        <v>717</v>
      </c>
    </row>
    <row r="50" spans="2:9" x14ac:dyDescent="0.25">
      <c r="B50" s="72"/>
      <c r="C50" s="74" t="s">
        <v>722</v>
      </c>
      <c r="D50" s="74"/>
      <c r="E50" s="74"/>
      <c r="F50" s="74"/>
      <c r="G50" s="74" t="e">
        <f t="shared" si="1"/>
        <v>#N/A</v>
      </c>
      <c r="H50" s="74"/>
      <c r="I50" s="476" t="s">
        <v>717</v>
      </c>
    </row>
    <row r="51" spans="2:9" x14ac:dyDescent="0.25">
      <c r="B51" s="72"/>
      <c r="C51" s="74" t="s">
        <v>723</v>
      </c>
      <c r="D51" s="74"/>
      <c r="E51" s="74"/>
      <c r="F51" s="74"/>
      <c r="G51" s="74" t="e">
        <f t="shared" si="1"/>
        <v>#N/A</v>
      </c>
      <c r="H51" s="74"/>
      <c r="I51" s="476" t="s">
        <v>717</v>
      </c>
    </row>
    <row r="52" spans="2:9" x14ac:dyDescent="0.25">
      <c r="B52" s="72" t="s">
        <v>3</v>
      </c>
      <c r="C52" s="74"/>
      <c r="D52" s="74"/>
      <c r="E52" s="74"/>
      <c r="F52" s="74"/>
      <c r="G52" s="74"/>
      <c r="H52" s="74">
        <f>SUM(H36:H51)</f>
        <v>2242.9361758185828</v>
      </c>
      <c r="I52" s="476"/>
    </row>
    <row r="53" spans="2:9" x14ac:dyDescent="0.25">
      <c r="H53" s="23">
        <f>H52-H36</f>
        <v>1126.0677337138172</v>
      </c>
      <c r="I53" s="23" t="s">
        <v>740</v>
      </c>
    </row>
    <row r="55" spans="2:9" ht="18" thickBot="1" x14ac:dyDescent="0.35">
      <c r="B55" s="24" t="s">
        <v>724</v>
      </c>
    </row>
    <row r="56" spans="2:9" ht="16.5" thickTop="1" x14ac:dyDescent="0.25">
      <c r="B56" s="91"/>
      <c r="C56" s="94"/>
      <c r="D56" s="94" t="s">
        <v>710</v>
      </c>
      <c r="E56" s="94" t="s">
        <v>677</v>
      </c>
      <c r="F56" s="94" t="s">
        <v>9</v>
      </c>
      <c r="G56" s="94"/>
      <c r="H56" s="94" t="s">
        <v>9</v>
      </c>
      <c r="I56" s="95" t="s">
        <v>725</v>
      </c>
    </row>
    <row r="57" spans="2:9" x14ac:dyDescent="0.25">
      <c r="B57" s="80"/>
      <c r="C57" s="92"/>
      <c r="D57" s="92"/>
      <c r="E57" s="92"/>
      <c r="F57" s="92" t="s">
        <v>712</v>
      </c>
      <c r="G57" s="92"/>
      <c r="H57" s="92" t="s">
        <v>726</v>
      </c>
      <c r="I57" s="480"/>
    </row>
    <row r="58" spans="2:9" x14ac:dyDescent="0.25">
      <c r="B58" s="72" t="s">
        <v>714</v>
      </c>
      <c r="C58" s="74" t="s">
        <v>687</v>
      </c>
      <c r="D58" s="74" t="s">
        <v>715</v>
      </c>
      <c r="E58" s="74" t="s">
        <v>716</v>
      </c>
      <c r="F58" s="74">
        <v>1.4652000000000001</v>
      </c>
      <c r="G58" s="74">
        <f>VLOOKUP(C58,$C$10:$J$27,7,FALSE)</f>
        <v>259.60821036768988</v>
      </c>
      <c r="H58" s="486">
        <f>G58*F58</f>
        <v>380.37794983073923</v>
      </c>
      <c r="I58" s="476" t="s">
        <v>688</v>
      </c>
    </row>
    <row r="59" spans="2:9" x14ac:dyDescent="0.25">
      <c r="B59" s="72"/>
      <c r="C59" s="74" t="s">
        <v>699</v>
      </c>
      <c r="D59" s="74" t="s">
        <v>718</v>
      </c>
      <c r="E59" s="74" t="s">
        <v>716</v>
      </c>
      <c r="F59" s="74">
        <v>1.4652000000000001</v>
      </c>
      <c r="G59" s="74">
        <f t="shared" ref="G59:G73" si="3">VLOOKUP(C59,$C$10:$J$27,7,FALSE)</f>
        <v>69.906303046805363</v>
      </c>
      <c r="H59" s="486">
        <f t="shared" ref="H59:H70" si="4">G59*F59</f>
        <v>102.42671522417922</v>
      </c>
      <c r="I59" s="476" t="s">
        <v>688</v>
      </c>
    </row>
    <row r="60" spans="2:9" x14ac:dyDescent="0.25">
      <c r="B60" s="72"/>
      <c r="C60" s="74" t="s">
        <v>689</v>
      </c>
      <c r="D60" s="74" t="s">
        <v>715</v>
      </c>
      <c r="E60" s="74" t="s">
        <v>716</v>
      </c>
      <c r="F60" s="74">
        <v>0.14099999999999999</v>
      </c>
      <c r="G60" s="74">
        <f t="shared" si="3"/>
        <v>2569.5289768555481</v>
      </c>
      <c r="H60" s="486">
        <f t="shared" si="4"/>
        <v>362.30358573663227</v>
      </c>
      <c r="I60" s="476"/>
    </row>
    <row r="61" spans="2:9" x14ac:dyDescent="0.25">
      <c r="B61" s="72"/>
      <c r="C61" s="74" t="s">
        <v>700</v>
      </c>
      <c r="D61" s="74" t="s">
        <v>718</v>
      </c>
      <c r="E61" s="74" t="s">
        <v>716</v>
      </c>
      <c r="F61" s="74">
        <v>0.14099999999999999</v>
      </c>
      <c r="G61" s="74">
        <f t="shared" si="3"/>
        <v>37.787190836111002</v>
      </c>
      <c r="H61" s="486">
        <f t="shared" si="4"/>
        <v>5.3279939078916509</v>
      </c>
      <c r="I61" s="476"/>
    </row>
    <row r="62" spans="2:9" x14ac:dyDescent="0.25">
      <c r="B62" s="72"/>
      <c r="C62" s="74" t="s">
        <v>701</v>
      </c>
      <c r="D62" s="74" t="s">
        <v>718</v>
      </c>
      <c r="E62" s="74" t="s">
        <v>716</v>
      </c>
      <c r="F62" s="74">
        <v>0.877</v>
      </c>
      <c r="G62" s="74">
        <f t="shared" si="3"/>
        <v>100.13605571569416</v>
      </c>
      <c r="H62" s="486">
        <f t="shared" si="4"/>
        <v>87.819320862663773</v>
      </c>
      <c r="I62" s="476"/>
    </row>
    <row r="63" spans="2:9" x14ac:dyDescent="0.25">
      <c r="B63" s="72"/>
      <c r="C63" s="74" t="s">
        <v>690</v>
      </c>
      <c r="D63" s="74" t="s">
        <v>715</v>
      </c>
      <c r="E63" s="74" t="s">
        <v>719</v>
      </c>
      <c r="F63" s="74">
        <v>11</v>
      </c>
      <c r="G63" s="74">
        <f t="shared" si="3"/>
        <v>0.71795662588610909</v>
      </c>
      <c r="H63" s="486">
        <f t="shared" si="4"/>
        <v>7.8975228847472003</v>
      </c>
      <c r="I63" s="476"/>
    </row>
    <row r="64" spans="2:9" x14ac:dyDescent="0.25">
      <c r="B64" s="72"/>
      <c r="C64" s="74" t="s">
        <v>693</v>
      </c>
      <c r="D64" s="74" t="s">
        <v>715</v>
      </c>
      <c r="E64" s="74" t="s">
        <v>716</v>
      </c>
      <c r="F64" s="74">
        <f>0.0402+0.0124</f>
        <v>5.2600000000000001E-2</v>
      </c>
      <c r="G64" s="74">
        <f t="shared" si="3"/>
        <v>460.36242909358174</v>
      </c>
      <c r="H64" s="486">
        <f t="shared" si="4"/>
        <v>24.215063770322399</v>
      </c>
      <c r="I64" s="476"/>
    </row>
    <row r="65" spans="2:9" x14ac:dyDescent="0.25">
      <c r="B65" s="72"/>
      <c r="C65" s="74" t="s">
        <v>249</v>
      </c>
      <c r="D65" s="74" t="s">
        <v>715</v>
      </c>
      <c r="E65" s="74" t="s">
        <v>716</v>
      </c>
      <c r="F65" s="74">
        <v>0</v>
      </c>
      <c r="G65" s="74">
        <f t="shared" si="3"/>
        <v>377.87190836111006</v>
      </c>
      <c r="H65" s="486">
        <f t="shared" si="4"/>
        <v>0</v>
      </c>
      <c r="I65" s="476"/>
    </row>
    <row r="66" spans="2:9" x14ac:dyDescent="0.25">
      <c r="B66" s="72"/>
      <c r="C66" s="74" t="s">
        <v>696</v>
      </c>
      <c r="D66" s="74" t="s">
        <v>715</v>
      </c>
      <c r="E66" s="74" t="s">
        <v>716</v>
      </c>
      <c r="F66" s="74">
        <v>2E-3</v>
      </c>
      <c r="G66" s="74">
        <f t="shared" si="3"/>
        <v>43833.141369888763</v>
      </c>
      <c r="H66" s="486">
        <f t="shared" si="4"/>
        <v>87.666282739777529</v>
      </c>
      <c r="I66" s="476"/>
    </row>
    <row r="67" spans="2:9" x14ac:dyDescent="0.25">
      <c r="B67" s="72"/>
      <c r="C67" s="74" t="s">
        <v>697</v>
      </c>
      <c r="D67" s="74" t="s">
        <v>715</v>
      </c>
      <c r="E67" s="74" t="s">
        <v>716</v>
      </c>
      <c r="F67" s="74">
        <v>0</v>
      </c>
      <c r="G67" s="74">
        <f t="shared" si="3"/>
        <v>4897.2199323599862</v>
      </c>
      <c r="H67" s="486">
        <f t="shared" si="4"/>
        <v>0</v>
      </c>
      <c r="I67" s="476"/>
    </row>
    <row r="68" spans="2:9" x14ac:dyDescent="0.25">
      <c r="B68" s="72" t="s">
        <v>702</v>
      </c>
      <c r="C68" s="74" t="s">
        <v>703</v>
      </c>
      <c r="D68" s="74" t="s">
        <v>715</v>
      </c>
      <c r="E68" s="74" t="s">
        <v>720</v>
      </c>
      <c r="F68" s="74">
        <f>1.7807+1.04+1</f>
        <v>3.8207</v>
      </c>
      <c r="G68" s="74">
        <f t="shared" si="3"/>
        <v>284.91541890427698</v>
      </c>
      <c r="H68" s="486">
        <f t="shared" si="4"/>
        <v>1088.576341007571</v>
      </c>
      <c r="I68" s="476"/>
    </row>
    <row r="69" spans="2:9" x14ac:dyDescent="0.25">
      <c r="B69" s="72"/>
      <c r="C69" s="74" t="s">
        <v>706</v>
      </c>
      <c r="D69" s="74"/>
      <c r="E69" s="74"/>
      <c r="F69" s="74">
        <v>1</v>
      </c>
      <c r="G69" s="74">
        <f t="shared" si="3"/>
        <v>113.36157250833301</v>
      </c>
      <c r="H69" s="486">
        <f t="shared" si="4"/>
        <v>113.36157250833301</v>
      </c>
      <c r="I69" s="476"/>
    </row>
    <row r="70" spans="2:9" x14ac:dyDescent="0.25">
      <c r="B70" s="72"/>
      <c r="C70" s="74" t="s">
        <v>708</v>
      </c>
      <c r="D70" s="74" t="s">
        <v>715</v>
      </c>
      <c r="E70" s="74" t="s">
        <v>716</v>
      </c>
      <c r="F70" s="74">
        <v>0</v>
      </c>
      <c r="G70" s="74">
        <f t="shared" si="3"/>
        <v>-240.326533717666</v>
      </c>
      <c r="H70" s="486">
        <f t="shared" si="4"/>
        <v>0</v>
      </c>
      <c r="I70" s="476"/>
    </row>
    <row r="71" spans="2:9" x14ac:dyDescent="0.25">
      <c r="B71" s="72"/>
      <c r="C71" s="74" t="s">
        <v>721</v>
      </c>
      <c r="D71" s="74"/>
      <c r="E71" s="74"/>
      <c r="F71" s="74"/>
      <c r="G71" s="74" t="e">
        <f t="shared" si="3"/>
        <v>#N/A</v>
      </c>
      <c r="H71" s="74"/>
      <c r="I71" s="476"/>
    </row>
    <row r="72" spans="2:9" x14ac:dyDescent="0.25">
      <c r="B72" s="72"/>
      <c r="C72" s="74" t="s">
        <v>722</v>
      </c>
      <c r="D72" s="74"/>
      <c r="E72" s="74"/>
      <c r="F72" s="74"/>
      <c r="G72" s="74" t="e">
        <f t="shared" si="3"/>
        <v>#N/A</v>
      </c>
      <c r="H72" s="74"/>
      <c r="I72" s="476"/>
    </row>
    <row r="73" spans="2:9" x14ac:dyDescent="0.25">
      <c r="B73" s="72"/>
      <c r="C73" s="74" t="s">
        <v>723</v>
      </c>
      <c r="D73" s="74"/>
      <c r="E73" s="74"/>
      <c r="F73" s="74"/>
      <c r="G73" s="74" t="e">
        <f t="shared" si="3"/>
        <v>#N/A</v>
      </c>
      <c r="H73" s="74"/>
      <c r="I73" s="476"/>
    </row>
    <row r="74" spans="2:9" x14ac:dyDescent="0.25">
      <c r="B74" s="72" t="s">
        <v>3</v>
      </c>
      <c r="C74" s="74"/>
      <c r="D74" s="74"/>
      <c r="E74" s="74"/>
      <c r="F74" s="74"/>
      <c r="G74" s="74"/>
      <c r="H74" s="74">
        <f>SUM(H58:H73)</f>
        <v>2259.9723484728574</v>
      </c>
      <c r="I74" s="476"/>
    </row>
    <row r="75" spans="2:9" x14ac:dyDescent="0.25">
      <c r="H75" s="487">
        <f>H74-H58</f>
        <v>1879.5943986421182</v>
      </c>
      <c r="I75" s="23" t="s">
        <v>740</v>
      </c>
    </row>
    <row r="77" spans="2:9" ht="18" thickBot="1" x14ac:dyDescent="0.35">
      <c r="B77" s="24" t="s">
        <v>727</v>
      </c>
    </row>
    <row r="78" spans="2:9" ht="16.5" thickTop="1" x14ac:dyDescent="0.25">
      <c r="B78" s="477"/>
      <c r="C78" s="478"/>
      <c r="D78" s="478" t="s">
        <v>710</v>
      </c>
      <c r="E78" s="478" t="s">
        <v>677</v>
      </c>
      <c r="F78" s="478" t="s">
        <v>8</v>
      </c>
      <c r="G78" s="478"/>
      <c r="H78" s="478" t="s">
        <v>8</v>
      </c>
      <c r="I78" s="479"/>
    </row>
    <row r="79" spans="2:9" x14ac:dyDescent="0.25">
      <c r="B79" s="80"/>
      <c r="C79" s="92"/>
      <c r="D79" s="92"/>
      <c r="E79" s="92"/>
      <c r="F79" s="92" t="s">
        <v>712</v>
      </c>
      <c r="G79" s="92"/>
      <c r="H79" s="92" t="s">
        <v>726</v>
      </c>
      <c r="I79" s="480"/>
    </row>
    <row r="80" spans="2:9" x14ac:dyDescent="0.25">
      <c r="B80" s="72" t="s">
        <v>714</v>
      </c>
      <c r="C80" s="74" t="s">
        <v>247</v>
      </c>
      <c r="D80" s="74" t="s">
        <v>715</v>
      </c>
      <c r="E80" s="74" t="s">
        <v>716</v>
      </c>
      <c r="F80" s="74">
        <v>0</v>
      </c>
      <c r="G80" s="74">
        <f>VLOOKUP(C80,$C$10:$J$27,7,FALSE)</f>
        <v>740.62894038777563</v>
      </c>
      <c r="H80" s="74">
        <f>F80*G80</f>
        <v>0</v>
      </c>
      <c r="I80" s="476" t="s">
        <v>728</v>
      </c>
    </row>
    <row r="81" spans="2:9" x14ac:dyDescent="0.25">
      <c r="B81" s="72"/>
      <c r="C81" s="74" t="s">
        <v>699</v>
      </c>
      <c r="D81" s="74" t="s">
        <v>718</v>
      </c>
      <c r="E81" s="74" t="s">
        <v>716</v>
      </c>
      <c r="F81" s="74">
        <v>0</v>
      </c>
      <c r="G81" s="74">
        <f t="shared" ref="G81:G95" si="5">VLOOKUP(C81,$C$10:$J$27,7,FALSE)</f>
        <v>69.906303046805363</v>
      </c>
      <c r="H81" s="74">
        <f t="shared" ref="H81:H92" si="6">F81*G81</f>
        <v>0</v>
      </c>
      <c r="I81" s="476" t="s">
        <v>728</v>
      </c>
    </row>
    <row r="82" spans="2:9" x14ac:dyDescent="0.25">
      <c r="B82" s="72"/>
      <c r="C82" s="74" t="s">
        <v>689</v>
      </c>
      <c r="D82" s="74" t="s">
        <v>715</v>
      </c>
      <c r="E82" s="74" t="s">
        <v>716</v>
      </c>
      <c r="F82" s="74">
        <v>1.085</v>
      </c>
      <c r="G82" s="74">
        <f t="shared" si="5"/>
        <v>2569.5289768555481</v>
      </c>
      <c r="H82" s="74">
        <f t="shared" si="6"/>
        <v>2787.9389398882695</v>
      </c>
      <c r="I82" s="476" t="s">
        <v>728</v>
      </c>
    </row>
    <row r="83" spans="2:9" x14ac:dyDescent="0.25">
      <c r="B83" s="72"/>
      <c r="C83" s="74" t="s">
        <v>700</v>
      </c>
      <c r="D83" s="74" t="s">
        <v>718</v>
      </c>
      <c r="E83" s="74" t="s">
        <v>716</v>
      </c>
      <c r="F83" s="74">
        <v>1.085</v>
      </c>
      <c r="G83" s="74">
        <f t="shared" si="5"/>
        <v>37.787190836111002</v>
      </c>
      <c r="H83" s="74">
        <f t="shared" si="6"/>
        <v>40.999102057180437</v>
      </c>
      <c r="I83" s="476" t="s">
        <v>728</v>
      </c>
    </row>
    <row r="84" spans="2:9" x14ac:dyDescent="0.25">
      <c r="B84" s="72"/>
      <c r="C84" s="74" t="s">
        <v>701</v>
      </c>
      <c r="D84" s="74" t="s">
        <v>718</v>
      </c>
      <c r="E84" s="74" t="s">
        <v>716</v>
      </c>
      <c r="F84" s="74">
        <v>0</v>
      </c>
      <c r="G84" s="74">
        <f t="shared" si="5"/>
        <v>100.13605571569416</v>
      </c>
      <c r="H84" s="74">
        <f t="shared" si="6"/>
        <v>0</v>
      </c>
      <c r="I84" s="476" t="s">
        <v>728</v>
      </c>
    </row>
    <row r="85" spans="2:9" x14ac:dyDescent="0.25">
      <c r="B85" s="72"/>
      <c r="C85" s="74" t="s">
        <v>690</v>
      </c>
      <c r="D85" s="74" t="s">
        <v>715</v>
      </c>
      <c r="E85" s="74" t="s">
        <v>719</v>
      </c>
      <c r="F85" s="74">
        <v>15</v>
      </c>
      <c r="G85" s="74">
        <f t="shared" si="5"/>
        <v>0.71795662588610909</v>
      </c>
      <c r="H85" s="74">
        <f t="shared" si="6"/>
        <v>10.769349388291637</v>
      </c>
      <c r="I85" s="476" t="s">
        <v>728</v>
      </c>
    </row>
    <row r="86" spans="2:9" x14ac:dyDescent="0.25">
      <c r="B86" s="72"/>
      <c r="C86" s="74" t="s">
        <v>694</v>
      </c>
      <c r="D86" s="74" t="s">
        <v>715</v>
      </c>
      <c r="E86" s="74" t="s">
        <v>716</v>
      </c>
      <c r="F86" s="74">
        <v>1.0999999999999999E-2</v>
      </c>
      <c r="G86" s="74">
        <f t="shared" si="5"/>
        <v>8879.9898464860853</v>
      </c>
      <c r="H86" s="74">
        <f t="shared" si="6"/>
        <v>97.679888311346929</v>
      </c>
      <c r="I86" s="476" t="s">
        <v>728</v>
      </c>
    </row>
    <row r="87" spans="2:9" x14ac:dyDescent="0.25">
      <c r="B87" s="72"/>
      <c r="C87" s="74" t="s">
        <v>249</v>
      </c>
      <c r="D87" s="74" t="s">
        <v>715</v>
      </c>
      <c r="E87" s="74" t="s">
        <v>716</v>
      </c>
      <c r="F87" s="74">
        <v>2.9000000000000001E-2</v>
      </c>
      <c r="G87" s="74">
        <f t="shared" si="5"/>
        <v>377.87190836111006</v>
      </c>
      <c r="H87" s="74">
        <f t="shared" si="6"/>
        <v>10.958285342472193</v>
      </c>
      <c r="I87" s="476" t="s">
        <v>728</v>
      </c>
    </row>
    <row r="88" spans="2:9" x14ac:dyDescent="0.25">
      <c r="B88" s="72"/>
      <c r="C88" s="74" t="s">
        <v>696</v>
      </c>
      <c r="D88" s="74" t="s">
        <v>715</v>
      </c>
      <c r="E88" s="74" t="s">
        <v>716</v>
      </c>
      <c r="F88" s="74">
        <v>2E-3</v>
      </c>
      <c r="G88" s="74">
        <f t="shared" si="5"/>
        <v>43833.141369888763</v>
      </c>
      <c r="H88" s="74">
        <f t="shared" si="6"/>
        <v>87.666282739777529</v>
      </c>
      <c r="I88" s="476" t="s">
        <v>728</v>
      </c>
    </row>
    <row r="89" spans="2:9" x14ac:dyDescent="0.25">
      <c r="B89" s="72"/>
      <c r="C89" s="74" t="s">
        <v>697</v>
      </c>
      <c r="D89" s="74" t="s">
        <v>715</v>
      </c>
      <c r="E89" s="74" t="s">
        <v>716</v>
      </c>
      <c r="F89" s="74">
        <v>7.0000000000000001E-3</v>
      </c>
      <c r="G89" s="74">
        <f t="shared" si="5"/>
        <v>4897.2199323599862</v>
      </c>
      <c r="H89" s="74">
        <f t="shared" si="6"/>
        <v>34.280539526519902</v>
      </c>
      <c r="I89" s="476" t="s">
        <v>728</v>
      </c>
    </row>
    <row r="90" spans="2:9" x14ac:dyDescent="0.25">
      <c r="B90" s="72" t="s">
        <v>702</v>
      </c>
      <c r="C90" s="74" t="s">
        <v>703</v>
      </c>
      <c r="D90" s="74" t="s">
        <v>715</v>
      </c>
      <c r="E90" s="74" t="s">
        <v>720</v>
      </c>
      <c r="F90" s="74">
        <v>0.57899999999999996</v>
      </c>
      <c r="G90" s="74">
        <f t="shared" si="5"/>
        <v>284.91541890427698</v>
      </c>
      <c r="H90" s="74">
        <f t="shared" si="6"/>
        <v>164.96602754557637</v>
      </c>
      <c r="I90" s="476" t="s">
        <v>728</v>
      </c>
    </row>
    <row r="91" spans="2:9" x14ac:dyDescent="0.25">
      <c r="B91" s="72"/>
      <c r="C91" s="74" t="s">
        <v>706</v>
      </c>
      <c r="D91" s="74"/>
      <c r="E91" s="74"/>
      <c r="F91" s="74">
        <v>1</v>
      </c>
      <c r="G91" s="74">
        <f t="shared" si="5"/>
        <v>113.36157250833301</v>
      </c>
      <c r="H91" s="74">
        <f t="shared" si="6"/>
        <v>113.36157250833301</v>
      </c>
      <c r="I91" s="476" t="s">
        <v>728</v>
      </c>
    </row>
    <row r="92" spans="2:9" x14ac:dyDescent="0.25">
      <c r="B92" s="72"/>
      <c r="C92" s="74" t="s">
        <v>708</v>
      </c>
      <c r="D92" s="74" t="s">
        <v>715</v>
      </c>
      <c r="E92" s="74" t="s">
        <v>716</v>
      </c>
      <c r="F92" s="74">
        <v>0</v>
      </c>
      <c r="G92" s="74">
        <f t="shared" si="5"/>
        <v>-240.326533717666</v>
      </c>
      <c r="H92" s="74">
        <f t="shared" si="6"/>
        <v>0</v>
      </c>
      <c r="I92" s="476" t="s">
        <v>728</v>
      </c>
    </row>
    <row r="93" spans="2:9" x14ac:dyDescent="0.25">
      <c r="B93" s="72"/>
      <c r="C93" s="74" t="s">
        <v>721</v>
      </c>
      <c r="D93" s="74"/>
      <c r="E93" s="74"/>
      <c r="F93" s="74"/>
      <c r="G93" s="74" t="e">
        <f t="shared" si="5"/>
        <v>#N/A</v>
      </c>
      <c r="H93" s="74"/>
      <c r="I93" s="476"/>
    </row>
    <row r="94" spans="2:9" x14ac:dyDescent="0.25">
      <c r="B94" s="72"/>
      <c r="C94" s="74" t="s">
        <v>722</v>
      </c>
      <c r="D94" s="74"/>
      <c r="E94" s="74"/>
      <c r="F94" s="74"/>
      <c r="G94" s="74" t="e">
        <f t="shared" si="5"/>
        <v>#N/A</v>
      </c>
      <c r="H94" s="74"/>
      <c r="I94" s="476"/>
    </row>
    <row r="95" spans="2:9" x14ac:dyDescent="0.25">
      <c r="B95" s="72"/>
      <c r="C95" s="74" t="s">
        <v>723</v>
      </c>
      <c r="D95" s="74"/>
      <c r="E95" s="74"/>
      <c r="F95" s="74"/>
      <c r="G95" s="74" t="e">
        <f t="shared" si="5"/>
        <v>#N/A</v>
      </c>
      <c r="H95" s="74"/>
      <c r="I95" s="476"/>
    </row>
    <row r="96" spans="2:9" x14ac:dyDescent="0.25">
      <c r="B96" s="72" t="s">
        <v>3</v>
      </c>
      <c r="C96" s="74"/>
      <c r="D96" s="74"/>
      <c r="E96" s="74"/>
      <c r="F96" s="74"/>
      <c r="G96" s="74"/>
      <c r="H96" s="74">
        <f>SUM(H80:H95)</f>
        <v>3348.619987307768</v>
      </c>
      <c r="I96" s="476"/>
    </row>
    <row r="97" spans="2:9" x14ac:dyDescent="0.25">
      <c r="H97" s="23">
        <f>H96</f>
        <v>3348.619987307768</v>
      </c>
    </row>
    <row r="99" spans="2:9" ht="18" thickBot="1" x14ac:dyDescent="0.35">
      <c r="B99" s="24" t="s">
        <v>729</v>
      </c>
    </row>
    <row r="100" spans="2:9" ht="16.5" thickTop="1" x14ac:dyDescent="0.25">
      <c r="B100" s="477"/>
      <c r="C100" s="478"/>
      <c r="D100" s="478" t="s">
        <v>710</v>
      </c>
      <c r="E100" s="478" t="s">
        <v>677</v>
      </c>
      <c r="F100" s="478" t="s">
        <v>730</v>
      </c>
      <c r="G100" s="478"/>
      <c r="H100" s="478" t="s">
        <v>730</v>
      </c>
      <c r="I100" s="479" t="s">
        <v>731</v>
      </c>
    </row>
    <row r="101" spans="2:9" x14ac:dyDescent="0.25">
      <c r="B101" s="80"/>
      <c r="C101" s="92"/>
      <c r="D101" s="92"/>
      <c r="E101" s="92"/>
      <c r="F101" s="92" t="s">
        <v>712</v>
      </c>
      <c r="G101" s="92"/>
      <c r="H101" s="92" t="s">
        <v>726</v>
      </c>
      <c r="I101" s="480"/>
    </row>
    <row r="102" spans="2:9" x14ac:dyDescent="0.25">
      <c r="B102" s="72" t="s">
        <v>714</v>
      </c>
      <c r="C102" s="74" t="s">
        <v>687</v>
      </c>
      <c r="D102" s="74" t="s">
        <v>715</v>
      </c>
      <c r="E102" s="74" t="s">
        <v>716</v>
      </c>
      <c r="F102" s="74">
        <v>1.2</v>
      </c>
      <c r="G102" s="74">
        <f t="shared" ref="G102:G112" si="7">VLOOKUP(C102,$C$10:$J$27,7,FALSE)</f>
        <v>259.60821036768988</v>
      </c>
      <c r="H102" s="74">
        <f>G102*F102</f>
        <v>311.52985244122783</v>
      </c>
      <c r="I102" s="476"/>
    </row>
    <row r="103" spans="2:9" x14ac:dyDescent="0.25">
      <c r="B103" s="72"/>
      <c r="C103" s="74" t="s">
        <v>699</v>
      </c>
      <c r="D103" s="74" t="s">
        <v>718</v>
      </c>
      <c r="E103" s="74" t="s">
        <v>716</v>
      </c>
      <c r="F103" s="74">
        <v>1.2</v>
      </c>
      <c r="G103" s="74">
        <f t="shared" si="7"/>
        <v>69.906303046805363</v>
      </c>
      <c r="H103" s="74">
        <f t="shared" ref="H103:H114" si="8">G103*F103</f>
        <v>83.887563656166435</v>
      </c>
      <c r="I103" s="476"/>
    </row>
    <row r="104" spans="2:9" x14ac:dyDescent="0.25">
      <c r="B104" s="72"/>
      <c r="C104" s="74" t="s">
        <v>689</v>
      </c>
      <c r="D104" s="74" t="s">
        <v>715</v>
      </c>
      <c r="E104" s="74" t="s">
        <v>716</v>
      </c>
      <c r="F104" s="74">
        <v>0.1181</v>
      </c>
      <c r="G104" s="74">
        <f t="shared" si="7"/>
        <v>2569.5289768555481</v>
      </c>
      <c r="H104" s="74">
        <f t="shared" si="8"/>
        <v>303.46137216664022</v>
      </c>
      <c r="I104" s="476"/>
    </row>
    <row r="105" spans="2:9" x14ac:dyDescent="0.25">
      <c r="B105" s="72"/>
      <c r="C105" s="74" t="s">
        <v>700</v>
      </c>
      <c r="D105" s="74" t="s">
        <v>718</v>
      </c>
      <c r="E105" s="74" t="s">
        <v>716</v>
      </c>
      <c r="F105" s="74">
        <v>0.14099999999999999</v>
      </c>
      <c r="G105" s="74">
        <f t="shared" si="7"/>
        <v>37.787190836111002</v>
      </c>
      <c r="H105" s="74">
        <f t="shared" si="8"/>
        <v>5.3279939078916509</v>
      </c>
      <c r="I105" s="476"/>
    </row>
    <row r="106" spans="2:9" x14ac:dyDescent="0.25">
      <c r="B106" s="72"/>
      <c r="C106" s="74" t="s">
        <v>701</v>
      </c>
      <c r="D106" s="74" t="s">
        <v>718</v>
      </c>
      <c r="E106" s="74" t="s">
        <v>716</v>
      </c>
      <c r="F106" s="74">
        <v>0.877</v>
      </c>
      <c r="G106" s="74">
        <f t="shared" si="7"/>
        <v>100.13605571569416</v>
      </c>
      <c r="H106" s="74">
        <f t="shared" si="8"/>
        <v>87.819320862663773</v>
      </c>
      <c r="I106" s="476"/>
    </row>
    <row r="107" spans="2:9" x14ac:dyDescent="0.25">
      <c r="B107" s="72"/>
      <c r="C107" s="74" t="s">
        <v>690</v>
      </c>
      <c r="D107" s="74" t="s">
        <v>715</v>
      </c>
      <c r="E107" s="74" t="s">
        <v>719</v>
      </c>
      <c r="F107" s="74">
        <v>15</v>
      </c>
      <c r="G107" s="74">
        <f t="shared" si="7"/>
        <v>0.71795662588610909</v>
      </c>
      <c r="H107" s="74">
        <f t="shared" si="8"/>
        <v>10.769349388291637</v>
      </c>
      <c r="I107" s="476"/>
    </row>
    <row r="108" spans="2:9" x14ac:dyDescent="0.25">
      <c r="B108" s="72"/>
      <c r="C108" s="74" t="s">
        <v>692</v>
      </c>
      <c r="D108" s="74" t="s">
        <v>715</v>
      </c>
      <c r="E108" s="74" t="s">
        <v>716</v>
      </c>
      <c r="F108" s="74">
        <v>3.6299999999999999E-2</v>
      </c>
      <c r="G108" s="74">
        <f t="shared" si="7"/>
        <v>532.46596257232727</v>
      </c>
      <c r="H108" s="74">
        <f t="shared" si="8"/>
        <v>19.328514441375479</v>
      </c>
      <c r="I108" s="476"/>
    </row>
    <row r="109" spans="2:9" x14ac:dyDescent="0.25">
      <c r="B109" s="72"/>
      <c r="C109" s="74" t="s">
        <v>695</v>
      </c>
      <c r="D109" s="74" t="s">
        <v>715</v>
      </c>
      <c r="E109" s="74" t="s">
        <v>716</v>
      </c>
      <c r="F109" s="74">
        <v>1.55E-2</v>
      </c>
      <c r="G109" s="74">
        <f t="shared" si="7"/>
        <v>2901.4722130704695</v>
      </c>
      <c r="H109" s="74">
        <f t="shared" si="8"/>
        <v>44.972819302592278</v>
      </c>
      <c r="I109" s="476"/>
    </row>
    <row r="110" spans="2:9" x14ac:dyDescent="0.25">
      <c r="B110" s="72"/>
      <c r="C110" s="74" t="s">
        <v>696</v>
      </c>
      <c r="D110" s="74" t="s">
        <v>715</v>
      </c>
      <c r="E110" s="74" t="s">
        <v>716</v>
      </c>
      <c r="F110" s="74">
        <v>2E-3</v>
      </c>
      <c r="G110" s="74">
        <f t="shared" si="7"/>
        <v>43833.141369888763</v>
      </c>
      <c r="H110" s="74">
        <f t="shared" si="8"/>
        <v>87.666282739777529</v>
      </c>
      <c r="I110" s="476"/>
    </row>
    <row r="111" spans="2:9" x14ac:dyDescent="0.25">
      <c r="B111" s="72"/>
      <c r="C111" s="74" t="s">
        <v>693</v>
      </c>
      <c r="D111" s="74" t="s">
        <v>715</v>
      </c>
      <c r="E111" s="74" t="s">
        <v>716</v>
      </c>
      <c r="F111" s="74">
        <v>2.4299999999999999E-2</v>
      </c>
      <c r="G111" s="74">
        <f t="shared" si="7"/>
        <v>460.36242909358174</v>
      </c>
      <c r="H111" s="74">
        <f t="shared" si="8"/>
        <v>11.186807026974035</v>
      </c>
      <c r="I111" s="476"/>
    </row>
    <row r="112" spans="2:9" x14ac:dyDescent="0.25">
      <c r="B112" s="72" t="s">
        <v>702</v>
      </c>
      <c r="C112" s="74" t="s">
        <v>703</v>
      </c>
      <c r="D112" s="74" t="s">
        <v>715</v>
      </c>
      <c r="E112" s="74" t="s">
        <v>720</v>
      </c>
      <c r="F112" s="74">
        <f>1.8809+1.0261+1.0032</f>
        <v>3.9102000000000001</v>
      </c>
      <c r="G112" s="74">
        <f t="shared" si="7"/>
        <v>284.91541890427698</v>
      </c>
      <c r="H112" s="74">
        <f t="shared" si="8"/>
        <v>1114.0762709995038</v>
      </c>
      <c r="I112" s="476"/>
    </row>
    <row r="113" spans="2:9" x14ac:dyDescent="0.25">
      <c r="B113" s="72"/>
      <c r="C113" s="74" t="s">
        <v>18</v>
      </c>
      <c r="D113" s="74"/>
      <c r="E113" s="74"/>
      <c r="F113" s="74"/>
      <c r="G113" s="74"/>
      <c r="H113" s="74">
        <f>3.45*1.8809+13.69*1.0261+21.51*1.0032+4.498*1.0032</f>
        <v>46.627639600000002</v>
      </c>
      <c r="I113" s="476"/>
    </row>
    <row r="114" spans="2:9" x14ac:dyDescent="0.25">
      <c r="B114" s="72"/>
      <c r="C114" s="74" t="s">
        <v>708</v>
      </c>
      <c r="D114" s="74" t="s">
        <v>715</v>
      </c>
      <c r="E114" s="74" t="s">
        <v>716</v>
      </c>
      <c r="F114" s="74">
        <v>0</v>
      </c>
      <c r="G114" s="74">
        <f>VLOOKUP(C114,$C$10:$J$27,7,FALSE)</f>
        <v>-240.326533717666</v>
      </c>
      <c r="H114" s="74">
        <f t="shared" si="8"/>
        <v>0</v>
      </c>
      <c r="I114" s="476"/>
    </row>
    <row r="115" spans="2:9" x14ac:dyDescent="0.25">
      <c r="B115" s="72"/>
      <c r="C115" s="74" t="s">
        <v>721</v>
      </c>
      <c r="D115" s="74"/>
      <c r="E115" s="74"/>
      <c r="F115" s="74"/>
      <c r="G115" s="74"/>
      <c r="H115" s="74"/>
      <c r="I115" s="476"/>
    </row>
    <row r="116" spans="2:9" x14ac:dyDescent="0.25">
      <c r="B116" s="72"/>
      <c r="C116" s="74" t="s">
        <v>722</v>
      </c>
      <c r="D116" s="74"/>
      <c r="E116" s="74"/>
      <c r="F116" s="74"/>
      <c r="G116" s="74"/>
      <c r="H116" s="74"/>
      <c r="I116" s="476"/>
    </row>
    <row r="117" spans="2:9" x14ac:dyDescent="0.25">
      <c r="B117" s="72"/>
      <c r="C117" s="74" t="s">
        <v>723</v>
      </c>
      <c r="D117" s="74"/>
      <c r="E117" s="74"/>
      <c r="F117" s="74"/>
      <c r="G117" s="74"/>
      <c r="H117" s="74"/>
      <c r="I117" s="476"/>
    </row>
    <row r="118" spans="2:9" x14ac:dyDescent="0.25">
      <c r="B118" s="72" t="s">
        <v>3</v>
      </c>
      <c r="C118" s="74"/>
      <c r="D118" s="74"/>
      <c r="E118" s="74"/>
      <c r="F118" s="74"/>
      <c r="G118" s="74"/>
      <c r="H118" s="74">
        <f>SUM(H102:H117)</f>
        <v>2126.6537865331043</v>
      </c>
      <c r="I118" s="476"/>
    </row>
    <row r="121" spans="2:9" x14ac:dyDescent="0.25">
      <c r="B121" s="477" t="s">
        <v>732</v>
      </c>
      <c r="C121" s="478" t="s">
        <v>7</v>
      </c>
      <c r="D121" s="478" t="s">
        <v>9</v>
      </c>
      <c r="E121" s="478" t="s">
        <v>159</v>
      </c>
      <c r="F121" s="479" t="s">
        <v>730</v>
      </c>
    </row>
    <row r="122" spans="2:9" x14ac:dyDescent="0.25">
      <c r="B122" s="72" t="s">
        <v>736</v>
      </c>
      <c r="C122" s="481">
        <f>H52</f>
        <v>2242.9361758185828</v>
      </c>
      <c r="D122" s="481">
        <f>H74</f>
        <v>2259.9723484728574</v>
      </c>
      <c r="E122" s="481">
        <f>H96</f>
        <v>3348.619987307768</v>
      </c>
      <c r="F122" s="485">
        <f>H118</f>
        <v>2126.6537865331043</v>
      </c>
      <c r="H122" s="23" t="s">
        <v>735</v>
      </c>
    </row>
    <row r="123" spans="2:9" x14ac:dyDescent="0.25">
      <c r="B123" s="72" t="s">
        <v>737</v>
      </c>
      <c r="C123" s="481">
        <f>H53*E4</f>
        <v>1465.3215205328313</v>
      </c>
      <c r="D123" s="481">
        <f>H75*E4</f>
        <v>2445.8654126601818</v>
      </c>
      <c r="E123" s="101">
        <f>H96*$E$4</f>
        <v>4357.4687246437716</v>
      </c>
      <c r="F123" s="101"/>
      <c r="H123" s="23" t="s">
        <v>741</v>
      </c>
    </row>
  </sheetData>
  <hyperlinks>
    <hyperlink ref="J10" r:id="rId1" xr:uid="{9D5B5E87-D6CF-4CBA-B4BC-298F322E91DD}"/>
  </hyperlinks>
  <pageMargins left="0.75" right="0.75" top="1" bottom="1" header="0.5" footer="0.5"/>
  <pageSetup paperSize="9" orientation="portrait" horizontalDpi="4294967292" verticalDpi="429496729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95FCA-3D86-488A-86D1-8FC374D3B05D}">
  <sheetPr>
    <tabColor rgb="FF0070C0"/>
  </sheetPr>
  <dimension ref="A1:J75"/>
  <sheetViews>
    <sheetView topLeftCell="A47" zoomScale="70" zoomScaleNormal="70" workbookViewId="0">
      <selection activeCell="B86" sqref="B86"/>
    </sheetView>
  </sheetViews>
  <sheetFormatPr defaultColWidth="12.5703125" defaultRowHeight="15.75" x14ac:dyDescent="0.25"/>
  <cols>
    <col min="1" max="1" width="32.42578125" style="23" customWidth="1"/>
    <col min="2" max="2" width="62.7109375" style="23" bestFit="1" customWidth="1"/>
    <col min="3" max="3" width="24.7109375" style="23" bestFit="1" customWidth="1"/>
    <col min="4" max="4" width="18.85546875" style="23" bestFit="1" customWidth="1"/>
    <col min="5" max="5" width="18.7109375" style="23" bestFit="1" customWidth="1"/>
    <col min="6" max="6" width="17.140625" style="23" customWidth="1"/>
    <col min="7" max="7" width="17.7109375" style="23" bestFit="1" customWidth="1"/>
    <col min="8" max="9" width="17" style="23" customWidth="1"/>
    <col min="10" max="10" width="12.5703125" style="23"/>
    <col min="11" max="11" width="15" style="23" bestFit="1" customWidth="1"/>
    <col min="12" max="14" width="24.5703125" style="23" customWidth="1"/>
    <col min="15" max="15" width="21.7109375" style="23" bestFit="1" customWidth="1"/>
    <col min="16" max="16" width="15" style="23" bestFit="1" customWidth="1"/>
    <col min="17" max="16384" width="12.5703125" style="23"/>
  </cols>
  <sheetData>
    <row r="1" spans="1:10" ht="20.25" thickBot="1" x14ac:dyDescent="0.35">
      <c r="A1" s="22" t="s">
        <v>1182</v>
      </c>
    </row>
    <row r="2" spans="1:10" ht="16.5" thickTop="1" x14ac:dyDescent="0.25"/>
    <row r="3" spans="1:10" x14ac:dyDescent="0.25">
      <c r="A3" s="72" t="s">
        <v>1183</v>
      </c>
      <c r="B3" s="476">
        <v>2010</v>
      </c>
    </row>
    <row r="4" spans="1:10" x14ac:dyDescent="0.25">
      <c r="A4" s="72" t="s">
        <v>674</v>
      </c>
      <c r="B4" s="606" t="s">
        <v>675</v>
      </c>
    </row>
    <row r="6" spans="1:10" x14ac:dyDescent="0.25">
      <c r="A6" s="607" t="s">
        <v>1184</v>
      </c>
    </row>
    <row r="7" spans="1:10" x14ac:dyDescent="0.25">
      <c r="A7" s="477" t="s">
        <v>125</v>
      </c>
      <c r="B7" s="25" t="s">
        <v>1185</v>
      </c>
      <c r="C7" s="26" t="s">
        <v>564</v>
      </c>
      <c r="D7" s="26" t="s">
        <v>1186</v>
      </c>
      <c r="E7" s="26" t="s">
        <v>1187</v>
      </c>
      <c r="F7" s="26" t="s">
        <v>674</v>
      </c>
      <c r="G7" s="26" t="s">
        <v>1188</v>
      </c>
      <c r="H7" s="26" t="s">
        <v>681</v>
      </c>
      <c r="I7" s="26" t="s">
        <v>710</v>
      </c>
      <c r="J7" s="27" t="s">
        <v>1189</v>
      </c>
    </row>
    <row r="8" spans="1:10" x14ac:dyDescent="0.25">
      <c r="B8" s="72" t="s">
        <v>1190</v>
      </c>
      <c r="C8" s="74" t="s">
        <v>1191</v>
      </c>
      <c r="D8" s="74" t="s">
        <v>1192</v>
      </c>
      <c r="E8" s="74">
        <v>2000</v>
      </c>
      <c r="F8" s="74" t="s">
        <v>685</v>
      </c>
      <c r="G8" s="74">
        <v>148</v>
      </c>
      <c r="H8" s="74">
        <f t="shared" ref="H8:H20" si="0">VLOOKUP(F8,Deflator,MATCH($B$3,EXCH.year,0)+1,FALSE)/VLOOKUP(F8,Deflator,MATCH(E8,EXCH.year,0)+1,FALSE)*VLOOKUP(F8,EXCH,MATCH($B$3,EXCH.year,0)+1,FALSE)</f>
        <v>5.914974034351558</v>
      </c>
      <c r="I8" s="74" t="s">
        <v>1193</v>
      </c>
      <c r="J8" s="485">
        <f t="shared" ref="J8:J20" si="1">G8*H8</f>
        <v>875.4161570840306</v>
      </c>
    </row>
    <row r="9" spans="1:10" x14ac:dyDescent="0.25">
      <c r="A9" s="72"/>
      <c r="B9" s="72" t="s">
        <v>1190</v>
      </c>
      <c r="C9" s="74" t="s">
        <v>1191</v>
      </c>
      <c r="D9" s="74" t="s">
        <v>1192</v>
      </c>
      <c r="E9" s="74">
        <v>2000</v>
      </c>
      <c r="F9" s="74" t="s">
        <v>685</v>
      </c>
      <c r="G9" s="74">
        <v>275</v>
      </c>
      <c r="H9" s="74">
        <f t="shared" si="0"/>
        <v>5.914974034351558</v>
      </c>
      <c r="I9" s="74" t="s">
        <v>1193</v>
      </c>
      <c r="J9" s="485">
        <f t="shared" si="1"/>
        <v>1626.6178594466785</v>
      </c>
    </row>
    <row r="10" spans="1:10" x14ac:dyDescent="0.25">
      <c r="A10" s="72"/>
      <c r="B10" s="72" t="s">
        <v>372</v>
      </c>
      <c r="C10" s="74" t="s">
        <v>1191</v>
      </c>
      <c r="D10" s="74" t="s">
        <v>1194</v>
      </c>
      <c r="E10" s="74">
        <v>2000</v>
      </c>
      <c r="F10" s="74" t="s">
        <v>685</v>
      </c>
      <c r="G10" s="74">
        <v>100</v>
      </c>
      <c r="H10" s="74">
        <f t="shared" si="0"/>
        <v>5.914974034351558</v>
      </c>
      <c r="I10" s="74" t="s">
        <v>1193</v>
      </c>
      <c r="J10" s="485">
        <f t="shared" si="1"/>
        <v>591.49740343515577</v>
      </c>
    </row>
    <row r="11" spans="1:10" x14ac:dyDescent="0.25">
      <c r="A11" s="72"/>
      <c r="B11" s="72" t="s">
        <v>1195</v>
      </c>
      <c r="C11" s="74" t="s">
        <v>1191</v>
      </c>
      <c r="D11" s="74" t="s">
        <v>1192</v>
      </c>
      <c r="E11" s="74">
        <v>2000</v>
      </c>
      <c r="F11" s="74" t="s">
        <v>685</v>
      </c>
      <c r="G11" s="74">
        <v>143</v>
      </c>
      <c r="H11" s="74">
        <f t="shared" si="0"/>
        <v>5.914974034351558</v>
      </c>
      <c r="I11" s="74" t="s">
        <v>1193</v>
      </c>
      <c r="J11" s="485">
        <f t="shared" si="1"/>
        <v>845.84128691227284</v>
      </c>
    </row>
    <row r="12" spans="1:10" x14ac:dyDescent="0.25">
      <c r="A12" s="72"/>
      <c r="B12" s="72" t="s">
        <v>1196</v>
      </c>
      <c r="C12" s="74" t="s">
        <v>1191</v>
      </c>
      <c r="D12" s="74" t="s">
        <v>1192</v>
      </c>
      <c r="E12" s="74">
        <v>2000</v>
      </c>
      <c r="F12" s="74" t="s">
        <v>685</v>
      </c>
      <c r="G12" s="74">
        <v>145</v>
      </c>
      <c r="H12" s="74">
        <f t="shared" si="0"/>
        <v>5.914974034351558</v>
      </c>
      <c r="I12" s="74" t="s">
        <v>1193</v>
      </c>
      <c r="J12" s="485">
        <f t="shared" si="1"/>
        <v>857.6712349809759</v>
      </c>
    </row>
    <row r="13" spans="1:10" x14ac:dyDescent="0.25">
      <c r="A13" s="72"/>
      <c r="B13" s="72" t="s">
        <v>1197</v>
      </c>
      <c r="C13" s="74" t="s">
        <v>1191</v>
      </c>
      <c r="D13" s="74" t="s">
        <v>1192</v>
      </c>
      <c r="E13" s="74">
        <v>2000</v>
      </c>
      <c r="F13" s="74" t="s">
        <v>685</v>
      </c>
      <c r="G13" s="74">
        <v>122</v>
      </c>
      <c r="H13" s="74">
        <f t="shared" si="0"/>
        <v>5.914974034351558</v>
      </c>
      <c r="I13" s="74" t="s">
        <v>1193</v>
      </c>
      <c r="J13" s="485">
        <f t="shared" si="1"/>
        <v>721.62683219089013</v>
      </c>
    </row>
    <row r="14" spans="1:10" x14ac:dyDescent="0.25">
      <c r="A14" s="72"/>
      <c r="B14" s="72" t="s">
        <v>1198</v>
      </c>
      <c r="C14" s="74" t="s">
        <v>1191</v>
      </c>
      <c r="D14" s="74" t="s">
        <v>1192</v>
      </c>
      <c r="E14" s="74">
        <v>2000</v>
      </c>
      <c r="F14" s="74" t="s">
        <v>685</v>
      </c>
      <c r="G14" s="74">
        <v>98</v>
      </c>
      <c r="H14" s="74">
        <f t="shared" si="0"/>
        <v>5.914974034351558</v>
      </c>
      <c r="I14" s="74" t="s">
        <v>1193</v>
      </c>
      <c r="J14" s="485">
        <f t="shared" si="1"/>
        <v>579.66745536645271</v>
      </c>
    </row>
    <row r="15" spans="1:10" x14ac:dyDescent="0.25">
      <c r="A15" s="72"/>
      <c r="B15" s="72" t="s">
        <v>1199</v>
      </c>
      <c r="C15" s="74" t="s">
        <v>1191</v>
      </c>
      <c r="D15" s="74" t="s">
        <v>1192</v>
      </c>
      <c r="E15" s="74">
        <v>2000</v>
      </c>
      <c r="F15" s="74" t="s">
        <v>685</v>
      </c>
      <c r="G15" s="74">
        <v>320</v>
      </c>
      <c r="H15" s="74">
        <f t="shared" si="0"/>
        <v>5.914974034351558</v>
      </c>
      <c r="I15" s="74" t="s">
        <v>1193</v>
      </c>
      <c r="J15" s="485">
        <f t="shared" si="1"/>
        <v>1892.7916909924986</v>
      </c>
    </row>
    <row r="16" spans="1:10" x14ac:dyDescent="0.25">
      <c r="A16" s="72"/>
      <c r="B16" s="72" t="s">
        <v>1</v>
      </c>
      <c r="C16" s="74" t="s">
        <v>1191</v>
      </c>
      <c r="D16" s="74" t="s">
        <v>1194</v>
      </c>
      <c r="E16" s="74">
        <v>2000</v>
      </c>
      <c r="F16" s="74" t="s">
        <v>685</v>
      </c>
      <c r="G16" s="74">
        <v>80</v>
      </c>
      <c r="H16" s="74">
        <f t="shared" si="0"/>
        <v>5.914974034351558</v>
      </c>
      <c r="I16" s="74" t="s">
        <v>1193</v>
      </c>
      <c r="J16" s="485">
        <f t="shared" si="1"/>
        <v>473.19792274812465</v>
      </c>
    </row>
    <row r="17" spans="1:10" x14ac:dyDescent="0.25">
      <c r="A17" s="72"/>
      <c r="B17" s="72" t="s">
        <v>1200</v>
      </c>
      <c r="C17" s="74" t="s">
        <v>1191</v>
      </c>
      <c r="D17" s="74" t="s">
        <v>1192</v>
      </c>
      <c r="E17" s="74">
        <v>2010</v>
      </c>
      <c r="F17" s="74" t="s">
        <v>872</v>
      </c>
      <c r="G17" s="74">
        <v>273</v>
      </c>
      <c r="H17" s="74">
        <f t="shared" si="0"/>
        <v>9.7120768109592781</v>
      </c>
      <c r="I17" s="74" t="s">
        <v>1193</v>
      </c>
      <c r="J17" s="485">
        <f t="shared" si="1"/>
        <v>2651.396969391883</v>
      </c>
    </row>
    <row r="18" spans="1:10" x14ac:dyDescent="0.25">
      <c r="A18" s="72"/>
      <c r="B18" s="72" t="s">
        <v>1201</v>
      </c>
      <c r="C18" s="74" t="s">
        <v>1191</v>
      </c>
      <c r="D18" s="74" t="s">
        <v>1192</v>
      </c>
      <c r="E18" s="74">
        <v>2010</v>
      </c>
      <c r="F18" s="74" t="s">
        <v>872</v>
      </c>
      <c r="G18" s="74">
        <v>500</v>
      </c>
      <c r="H18" s="74">
        <f t="shared" si="0"/>
        <v>9.7120768109592781</v>
      </c>
      <c r="I18" s="74" t="s">
        <v>1193</v>
      </c>
      <c r="J18" s="485">
        <f t="shared" si="1"/>
        <v>4856.0384054796386</v>
      </c>
    </row>
    <row r="19" spans="1:10" x14ac:dyDescent="0.25">
      <c r="A19" s="72"/>
      <c r="B19" s="72" t="s">
        <v>194</v>
      </c>
      <c r="C19" s="74" t="s">
        <v>1191</v>
      </c>
      <c r="D19" s="74" t="s">
        <v>1192</v>
      </c>
      <c r="E19" s="74">
        <v>2010</v>
      </c>
      <c r="F19" s="74" t="s">
        <v>872</v>
      </c>
      <c r="G19" s="74">
        <v>200</v>
      </c>
      <c r="H19" s="74">
        <f t="shared" si="0"/>
        <v>9.7120768109592781</v>
      </c>
      <c r="I19" s="74" t="s">
        <v>1193</v>
      </c>
      <c r="J19" s="485">
        <f t="shared" si="1"/>
        <v>1942.4153621918556</v>
      </c>
    </row>
    <row r="20" spans="1:10" x14ac:dyDescent="0.25">
      <c r="A20" s="72"/>
      <c r="B20" s="72" t="s">
        <v>1202</v>
      </c>
      <c r="C20" s="74" t="s">
        <v>1191</v>
      </c>
      <c r="D20" s="74" t="s">
        <v>1192</v>
      </c>
      <c r="E20" s="74">
        <v>2010</v>
      </c>
      <c r="F20" s="74" t="s">
        <v>872</v>
      </c>
      <c r="G20" s="74">
        <v>400</v>
      </c>
      <c r="H20" s="74">
        <f t="shared" si="0"/>
        <v>9.7120768109592781</v>
      </c>
      <c r="I20" s="74" t="s">
        <v>1193</v>
      </c>
      <c r="J20" s="485">
        <f t="shared" si="1"/>
        <v>3884.8307243837112</v>
      </c>
    </row>
    <row r="22" spans="1:10" x14ac:dyDescent="0.25">
      <c r="A22" s="607" t="s">
        <v>1203</v>
      </c>
      <c r="H22" s="608"/>
    </row>
    <row r="23" spans="1:10" x14ac:dyDescent="0.25">
      <c r="A23" s="72" t="s">
        <v>7</v>
      </c>
      <c r="B23" s="74" t="s">
        <v>1204</v>
      </c>
      <c r="C23" s="74" t="s">
        <v>1205</v>
      </c>
      <c r="D23" s="74"/>
      <c r="E23" s="74"/>
      <c r="F23" s="74"/>
      <c r="G23" s="74"/>
      <c r="H23" s="74"/>
      <c r="I23" s="74"/>
      <c r="J23" s="485">
        <f>$J$17+$J$10</f>
        <v>3242.8943728270388</v>
      </c>
    </row>
    <row r="24" spans="1:10" x14ac:dyDescent="0.25">
      <c r="A24" s="72" t="s">
        <v>7</v>
      </c>
      <c r="B24" s="74" t="s">
        <v>776</v>
      </c>
      <c r="C24" s="74" t="s">
        <v>1206</v>
      </c>
      <c r="D24" s="74" t="s">
        <v>1207</v>
      </c>
      <c r="E24" s="74"/>
      <c r="F24" s="74"/>
      <c r="G24" s="74"/>
      <c r="H24" s="74"/>
      <c r="I24" s="74">
        <v>100</v>
      </c>
      <c r="J24" s="485">
        <f>I24*($J$9+$J$10)/100</f>
        <v>2218.1152628818345</v>
      </c>
    </row>
    <row r="25" spans="1:10" x14ac:dyDescent="0.25">
      <c r="A25" s="72" t="s">
        <v>9</v>
      </c>
      <c r="B25" s="74" t="s">
        <v>1208</v>
      </c>
      <c r="C25" s="74" t="s">
        <v>1209</v>
      </c>
      <c r="D25" s="74"/>
      <c r="E25" s="74">
        <v>2000</v>
      </c>
      <c r="F25" s="74" t="s">
        <v>685</v>
      </c>
      <c r="G25" s="74">
        <v>362.6</v>
      </c>
      <c r="H25" s="74">
        <f>VLOOKUP(F25,Deflator,MATCH($B$3,EXCH.year,0)+1,FALSE)/VLOOKUP(F25,Deflator,MATCH(E25,EXCH.year,0)+1,FALSE)*VLOOKUP(F25,EXCH,MATCH($B$3,EXCH.year,0)+1,FALSE)</f>
        <v>5.914974034351558</v>
      </c>
      <c r="I25" s="74" t="s">
        <v>1193</v>
      </c>
      <c r="J25" s="485">
        <f>G25*H25</f>
        <v>2144.7695848558751</v>
      </c>
    </row>
    <row r="26" spans="1:10" x14ac:dyDescent="0.25">
      <c r="A26" s="72" t="s">
        <v>9</v>
      </c>
      <c r="B26" s="74" t="s">
        <v>1210</v>
      </c>
      <c r="C26" s="74" t="s">
        <v>1209</v>
      </c>
      <c r="D26" s="74"/>
      <c r="E26" s="74">
        <v>2000</v>
      </c>
      <c r="F26" s="74" t="s">
        <v>685</v>
      </c>
      <c r="G26" s="74">
        <v>373.5</v>
      </c>
      <c r="H26" s="74">
        <f>VLOOKUP(F26,Deflator,MATCH($B$3,EXCH.year,0)+1,FALSE)/VLOOKUP(F26,Deflator,MATCH(E26,EXCH.year,0)+1,FALSE)*VLOOKUP(F26,EXCH,MATCH($B$3,EXCH.year,0)+1,FALSE)</f>
        <v>5.914974034351558</v>
      </c>
      <c r="I26" s="74" t="s">
        <v>1193</v>
      </c>
      <c r="J26" s="485">
        <f>G26*H26</f>
        <v>2209.2428018303067</v>
      </c>
    </row>
    <row r="27" spans="1:10" x14ac:dyDescent="0.25">
      <c r="A27" s="72" t="s">
        <v>9</v>
      </c>
      <c r="B27" s="74" t="s">
        <v>1211</v>
      </c>
      <c r="C27" s="74" t="s">
        <v>1205</v>
      </c>
      <c r="D27" s="74"/>
      <c r="E27" s="74"/>
      <c r="F27" s="74"/>
      <c r="G27" s="74"/>
      <c r="H27" s="74"/>
      <c r="I27" s="74"/>
      <c r="J27" s="485">
        <f>$J$15+$J$16</f>
        <v>2365.9896137406231</v>
      </c>
    </row>
    <row r="28" spans="1:10" x14ac:dyDescent="0.25">
      <c r="A28" s="72" t="s">
        <v>9</v>
      </c>
      <c r="B28" s="74" t="s">
        <v>1212</v>
      </c>
      <c r="C28" s="74" t="s">
        <v>1209</v>
      </c>
      <c r="D28" s="74"/>
      <c r="E28" s="74">
        <v>2000</v>
      </c>
      <c r="F28" s="74" t="s">
        <v>685</v>
      </c>
      <c r="G28" s="74">
        <v>259.63</v>
      </c>
      <c r="H28" s="74">
        <f t="shared" ref="H28:H33" si="2">VLOOKUP(F28,Deflator,MATCH($B$3,EXCH.year,0)+1,FALSE)/VLOOKUP(F28,Deflator,MATCH(E28,EXCH.year,0)+1,FALSE)*VLOOKUP(F28,EXCH,MATCH($B$3,EXCH.year,0)+1,FALSE)</f>
        <v>5.914974034351558</v>
      </c>
      <c r="I28" s="74" t="s">
        <v>1193</v>
      </c>
      <c r="J28" s="485">
        <f t="shared" ref="J28:J33" si="3">G28*H28</f>
        <v>1535.7047085386951</v>
      </c>
    </row>
    <row r="29" spans="1:10" x14ac:dyDescent="0.25">
      <c r="A29" s="72" t="s">
        <v>9</v>
      </c>
      <c r="B29" s="74" t="s">
        <v>1213</v>
      </c>
      <c r="C29" s="74" t="s">
        <v>1209</v>
      </c>
      <c r="D29" s="74"/>
      <c r="E29" s="74">
        <v>2000</v>
      </c>
      <c r="F29" s="74" t="s">
        <v>685</v>
      </c>
      <c r="G29" s="74">
        <v>334.67</v>
      </c>
      <c r="H29" s="74">
        <f t="shared" si="2"/>
        <v>5.914974034351558</v>
      </c>
      <c r="I29" s="74" t="s">
        <v>1193</v>
      </c>
      <c r="J29" s="485">
        <f t="shared" si="3"/>
        <v>1979.5643600764361</v>
      </c>
    </row>
    <row r="30" spans="1:10" x14ac:dyDescent="0.25">
      <c r="A30" s="72" t="s">
        <v>8</v>
      </c>
      <c r="B30" s="74" t="s">
        <v>1214</v>
      </c>
      <c r="C30" s="74" t="s">
        <v>1209</v>
      </c>
      <c r="D30" s="74"/>
      <c r="E30" s="74">
        <v>2000</v>
      </c>
      <c r="F30" s="74" t="s">
        <v>685</v>
      </c>
      <c r="G30" s="74">
        <v>296.10000000000002</v>
      </c>
      <c r="H30" s="74">
        <f t="shared" si="2"/>
        <v>5.914974034351558</v>
      </c>
      <c r="I30" s="74" t="s">
        <v>1193</v>
      </c>
      <c r="J30" s="485">
        <f t="shared" si="3"/>
        <v>1751.4238115714963</v>
      </c>
    </row>
    <row r="31" spans="1:10" x14ac:dyDescent="0.25">
      <c r="A31" s="72" t="s">
        <v>8</v>
      </c>
      <c r="B31" s="74" t="s">
        <v>1215</v>
      </c>
      <c r="C31" s="74" t="s">
        <v>1209</v>
      </c>
      <c r="D31" s="74"/>
      <c r="E31" s="74">
        <v>2000</v>
      </c>
      <c r="F31" s="74" t="s">
        <v>685</v>
      </c>
      <c r="G31" s="74">
        <v>232.37</v>
      </c>
      <c r="H31" s="74">
        <f t="shared" si="2"/>
        <v>5.914974034351558</v>
      </c>
      <c r="I31" s="74" t="s">
        <v>1193</v>
      </c>
      <c r="J31" s="485">
        <f t="shared" si="3"/>
        <v>1374.4625163622716</v>
      </c>
    </row>
    <row r="32" spans="1:10" x14ac:dyDescent="0.25">
      <c r="A32" s="72" t="s">
        <v>8</v>
      </c>
      <c r="B32" s="74" t="s">
        <v>1216</v>
      </c>
      <c r="C32" s="74" t="s">
        <v>1209</v>
      </c>
      <c r="D32" s="74"/>
      <c r="E32" s="74">
        <v>2000</v>
      </c>
      <c r="F32" s="74" t="s">
        <v>685</v>
      </c>
      <c r="G32" s="74">
        <v>239.63</v>
      </c>
      <c r="H32" s="74">
        <f t="shared" si="2"/>
        <v>5.914974034351558</v>
      </c>
      <c r="I32" s="74" t="s">
        <v>1193</v>
      </c>
      <c r="J32" s="485">
        <f t="shared" si="3"/>
        <v>1417.4052278516638</v>
      </c>
    </row>
    <row r="33" spans="1:10" x14ac:dyDescent="0.25">
      <c r="A33" s="72" t="s">
        <v>8</v>
      </c>
      <c r="B33" s="74" t="s">
        <v>1217</v>
      </c>
      <c r="C33" s="74" t="s">
        <v>1209</v>
      </c>
      <c r="D33" s="74"/>
      <c r="E33" s="74">
        <v>2000</v>
      </c>
      <c r="F33" s="74" t="s">
        <v>685</v>
      </c>
      <c r="G33" s="74">
        <v>263.47000000000003</v>
      </c>
      <c r="H33" s="74">
        <f t="shared" si="2"/>
        <v>5.914974034351558</v>
      </c>
      <c r="I33" s="74" t="s">
        <v>1193</v>
      </c>
      <c r="J33" s="485">
        <f t="shared" si="3"/>
        <v>1558.4182088306052</v>
      </c>
    </row>
    <row r="34" spans="1:10" x14ac:dyDescent="0.25">
      <c r="A34" s="72" t="s">
        <v>7</v>
      </c>
      <c r="B34" s="74" t="s">
        <v>1218</v>
      </c>
      <c r="C34" s="74" t="s">
        <v>1205</v>
      </c>
      <c r="D34" s="74"/>
      <c r="E34" s="74"/>
      <c r="F34" s="74"/>
      <c r="G34" s="74"/>
      <c r="H34" s="74"/>
      <c r="I34" s="74"/>
      <c r="J34" s="485">
        <f>$J$8+$J$10</f>
        <v>1466.9135605191864</v>
      </c>
    </row>
    <row r="35" spans="1:10" x14ac:dyDescent="0.25">
      <c r="A35" s="72" t="s">
        <v>7</v>
      </c>
      <c r="B35" s="74" t="s">
        <v>1219</v>
      </c>
      <c r="C35" s="74" t="s">
        <v>1205</v>
      </c>
      <c r="D35" s="74"/>
      <c r="E35" s="74"/>
      <c r="F35" s="74"/>
      <c r="G35" s="74"/>
      <c r="H35" s="74"/>
      <c r="I35" s="74"/>
      <c r="J35" s="485">
        <f>$J$9+$J$10</f>
        <v>2218.1152628818345</v>
      </c>
    </row>
    <row r="36" spans="1:10" x14ac:dyDescent="0.25">
      <c r="A36" s="72" t="s">
        <v>7</v>
      </c>
      <c r="B36" s="74" t="s">
        <v>7</v>
      </c>
      <c r="C36" s="74" t="s">
        <v>1206</v>
      </c>
      <c r="D36" s="74" t="s">
        <v>1207</v>
      </c>
      <c r="E36" s="74"/>
      <c r="F36" s="74"/>
      <c r="G36" s="74"/>
      <c r="H36" s="74"/>
      <c r="I36" s="74">
        <v>82</v>
      </c>
      <c r="J36" s="485">
        <f>I36*($J$9+$J$10)/100</f>
        <v>1818.8545155631043</v>
      </c>
    </row>
    <row r="37" spans="1:10" x14ac:dyDescent="0.25">
      <c r="A37" s="72" t="s">
        <v>1220</v>
      </c>
      <c r="B37" s="74" t="s">
        <v>1221</v>
      </c>
      <c r="C37" s="74" t="s">
        <v>1205</v>
      </c>
      <c r="D37" s="74"/>
      <c r="E37" s="74"/>
      <c r="F37" s="74"/>
      <c r="G37" s="74"/>
      <c r="H37" s="74"/>
      <c r="I37" s="74"/>
      <c r="J37" s="485">
        <f>$J$20+$J$10</f>
        <v>4476.328127818867</v>
      </c>
    </row>
    <row r="38" spans="1:10" x14ac:dyDescent="0.25">
      <c r="A38" s="72" t="s">
        <v>1220</v>
      </c>
      <c r="B38" s="74" t="s">
        <v>1222</v>
      </c>
      <c r="C38" s="74" t="s">
        <v>1205</v>
      </c>
      <c r="D38" s="74"/>
      <c r="E38" s="74"/>
      <c r="F38" s="74"/>
      <c r="G38" s="74"/>
      <c r="H38" s="74"/>
      <c r="I38" s="74"/>
      <c r="J38" s="485">
        <f>$J$18+$J$10</f>
        <v>5447.535808914794</v>
      </c>
    </row>
    <row r="39" spans="1:10" x14ac:dyDescent="0.25">
      <c r="A39" s="72" t="s">
        <v>9</v>
      </c>
      <c r="B39" s="74" t="s">
        <v>1223</v>
      </c>
      <c r="C39" s="74" t="s">
        <v>1205</v>
      </c>
      <c r="D39" s="74"/>
      <c r="E39" s="74"/>
      <c r="F39" s="74"/>
      <c r="G39" s="74"/>
      <c r="H39" s="74"/>
      <c r="I39" s="74"/>
      <c r="J39" s="485">
        <f>$J$11+$J$16</f>
        <v>1319.0392096603975</v>
      </c>
    </row>
    <row r="40" spans="1:10" x14ac:dyDescent="0.25">
      <c r="A40" s="72" t="s">
        <v>9</v>
      </c>
      <c r="B40" s="74" t="s">
        <v>1224</v>
      </c>
      <c r="C40" s="74" t="s">
        <v>1205</v>
      </c>
      <c r="D40" s="74"/>
      <c r="E40" s="74"/>
      <c r="F40" s="74"/>
      <c r="G40" s="74"/>
      <c r="H40" s="74"/>
      <c r="I40" s="74"/>
      <c r="J40" s="485">
        <f>$J$12+$J$16</f>
        <v>1330.8691577291006</v>
      </c>
    </row>
    <row r="41" spans="1:10" x14ac:dyDescent="0.25">
      <c r="A41" s="72" t="s">
        <v>9</v>
      </c>
      <c r="B41" s="74" t="s">
        <v>9</v>
      </c>
      <c r="C41" s="74" t="s">
        <v>1206</v>
      </c>
      <c r="D41" s="74" t="s">
        <v>1207</v>
      </c>
      <c r="E41" s="74"/>
      <c r="F41" s="74"/>
      <c r="G41" s="74"/>
      <c r="H41" s="74"/>
      <c r="I41" s="74">
        <v>71</v>
      </c>
      <c r="J41" s="485">
        <f>I41*($J$9+$J$10)/100</f>
        <v>1574.8618366461026</v>
      </c>
    </row>
    <row r="42" spans="1:10" x14ac:dyDescent="0.25">
      <c r="A42" s="72" t="s">
        <v>9</v>
      </c>
      <c r="B42" s="74" t="s">
        <v>1225</v>
      </c>
      <c r="C42" s="74" t="s">
        <v>1209</v>
      </c>
      <c r="D42" s="74"/>
      <c r="E42" s="74">
        <v>2000</v>
      </c>
      <c r="F42" s="74" t="s">
        <v>685</v>
      </c>
      <c r="G42" s="74">
        <v>365.36</v>
      </c>
      <c r="H42" s="74">
        <f t="shared" ref="H42:H48" si="4">VLOOKUP(F42,Deflator,MATCH($B$3,EXCH.year,0)+1,FALSE)/VLOOKUP(F42,Deflator,MATCH(E42,EXCH.year,0)+1,FALSE)*VLOOKUP(F42,EXCH,MATCH($B$3,EXCH.year,0)+1,FALSE)</f>
        <v>5.914974034351558</v>
      </c>
      <c r="I42" s="74" t="s">
        <v>1193</v>
      </c>
      <c r="J42" s="485">
        <f t="shared" ref="J42:J48" si="5">G42*H42</f>
        <v>2161.0949131906855</v>
      </c>
    </row>
    <row r="43" spans="1:10" x14ac:dyDescent="0.25">
      <c r="A43" s="72" t="s">
        <v>9</v>
      </c>
      <c r="B43" s="74" t="s">
        <v>1226</v>
      </c>
      <c r="C43" s="74" t="s">
        <v>1209</v>
      </c>
      <c r="D43" s="74"/>
      <c r="E43" s="74">
        <v>2000</v>
      </c>
      <c r="F43" s="74" t="s">
        <v>685</v>
      </c>
      <c r="G43" s="74">
        <v>365.45</v>
      </c>
      <c r="H43" s="74">
        <f t="shared" si="4"/>
        <v>5.914974034351558</v>
      </c>
      <c r="I43" s="74" t="s">
        <v>1193</v>
      </c>
      <c r="J43" s="485">
        <f t="shared" si="5"/>
        <v>2161.627260853777</v>
      </c>
    </row>
    <row r="44" spans="1:10" x14ac:dyDescent="0.25">
      <c r="A44" s="72"/>
      <c r="B44" s="74" t="s">
        <v>1227</v>
      </c>
      <c r="C44" s="74" t="s">
        <v>1209</v>
      </c>
      <c r="D44" s="74"/>
      <c r="E44" s="74">
        <v>2000</v>
      </c>
      <c r="F44" s="74" t="s">
        <v>685</v>
      </c>
      <c r="G44" s="74">
        <v>231.85</v>
      </c>
      <c r="H44" s="74">
        <f t="shared" si="4"/>
        <v>5.914974034351558</v>
      </c>
      <c r="I44" s="74" t="s">
        <v>1193</v>
      </c>
      <c r="J44" s="485">
        <f t="shared" si="5"/>
        <v>1371.3867298644086</v>
      </c>
    </row>
    <row r="45" spans="1:10" x14ac:dyDescent="0.25">
      <c r="A45" s="72"/>
      <c r="B45" s="74" t="s">
        <v>1228</v>
      </c>
      <c r="C45" s="74" t="s">
        <v>1209</v>
      </c>
      <c r="D45" s="74"/>
      <c r="E45" s="74">
        <v>2000</v>
      </c>
      <c r="F45" s="74" t="s">
        <v>685</v>
      </c>
      <c r="G45" s="74">
        <v>232.7</v>
      </c>
      <c r="H45" s="74">
        <f t="shared" si="4"/>
        <v>5.914974034351558</v>
      </c>
      <c r="I45" s="74" t="s">
        <v>1193</v>
      </c>
      <c r="J45" s="485">
        <f t="shared" si="5"/>
        <v>1376.4144577936074</v>
      </c>
    </row>
    <row r="46" spans="1:10" x14ac:dyDescent="0.25">
      <c r="A46" s="72"/>
      <c r="B46" s="74" t="s">
        <v>1229</v>
      </c>
      <c r="C46" s="74" t="s">
        <v>1209</v>
      </c>
      <c r="D46" s="74"/>
      <c r="E46" s="74">
        <v>2000</v>
      </c>
      <c r="F46" s="74" t="s">
        <v>685</v>
      </c>
      <c r="G46" s="74">
        <v>292.32</v>
      </c>
      <c r="H46" s="74">
        <f t="shared" si="4"/>
        <v>5.914974034351558</v>
      </c>
      <c r="I46" s="74" t="s">
        <v>1193</v>
      </c>
      <c r="J46" s="485">
        <f t="shared" si="5"/>
        <v>1729.0652097216473</v>
      </c>
    </row>
    <row r="47" spans="1:10" x14ac:dyDescent="0.25">
      <c r="A47" s="72"/>
      <c r="B47" s="74" t="s">
        <v>1230</v>
      </c>
      <c r="C47" s="74" t="s">
        <v>1209</v>
      </c>
      <c r="D47" s="74"/>
      <c r="E47" s="74">
        <v>2000</v>
      </c>
      <c r="F47" s="74" t="s">
        <v>685</v>
      </c>
      <c r="G47" s="74">
        <v>347.59</v>
      </c>
      <c r="H47" s="74">
        <f t="shared" si="4"/>
        <v>5.914974034351558</v>
      </c>
      <c r="I47" s="74" t="s">
        <v>1193</v>
      </c>
      <c r="J47" s="485">
        <f t="shared" si="5"/>
        <v>2055.9858246002577</v>
      </c>
    </row>
    <row r="48" spans="1:10" x14ac:dyDescent="0.25">
      <c r="A48" s="72"/>
      <c r="B48" s="74" t="s">
        <v>1231</v>
      </c>
      <c r="C48" s="74" t="s">
        <v>1209</v>
      </c>
      <c r="D48" s="74"/>
      <c r="E48" s="74">
        <v>2000</v>
      </c>
      <c r="F48" s="74" t="s">
        <v>685</v>
      </c>
      <c r="G48" s="74">
        <v>257.24</v>
      </c>
      <c r="H48" s="74">
        <f t="shared" si="4"/>
        <v>5.914974034351558</v>
      </c>
      <c r="I48" s="74" t="s">
        <v>1193</v>
      </c>
      <c r="J48" s="485">
        <f t="shared" si="5"/>
        <v>1521.5679205965948</v>
      </c>
    </row>
    <row r="49" spans="1:10" x14ac:dyDescent="0.25">
      <c r="A49" s="72" t="s">
        <v>1232</v>
      </c>
      <c r="B49" s="74" t="s">
        <v>1233</v>
      </c>
      <c r="C49" s="74" t="s">
        <v>1206</v>
      </c>
      <c r="D49" s="74" t="s">
        <v>1192</v>
      </c>
      <c r="E49" s="74"/>
      <c r="F49" s="74"/>
      <c r="G49" s="74"/>
      <c r="H49" s="74"/>
      <c r="I49" s="74">
        <v>325</v>
      </c>
      <c r="J49" s="485">
        <f>I49*($J$9+$J$10)/100</f>
        <v>7208.8746043659621</v>
      </c>
    </row>
    <row r="50" spans="1:10" x14ac:dyDescent="0.25">
      <c r="A50" s="72" t="s">
        <v>8</v>
      </c>
      <c r="B50" s="74" t="s">
        <v>775</v>
      </c>
      <c r="C50" s="74" t="s">
        <v>1206</v>
      </c>
      <c r="D50" s="74" t="s">
        <v>1194</v>
      </c>
      <c r="E50" s="74"/>
      <c r="F50" s="74"/>
      <c r="G50" s="74"/>
      <c r="H50" s="74"/>
      <c r="I50" s="74">
        <v>45</v>
      </c>
      <c r="J50" s="485">
        <f>I50*($J$9+$J$10)/100</f>
        <v>998.15186829682557</v>
      </c>
    </row>
    <row r="51" spans="1:10" x14ac:dyDescent="0.25">
      <c r="A51" s="72" t="s">
        <v>8</v>
      </c>
      <c r="B51" s="74" t="s">
        <v>1234</v>
      </c>
      <c r="C51" s="74" t="s">
        <v>1206</v>
      </c>
      <c r="D51" s="74" t="s">
        <v>1194</v>
      </c>
      <c r="E51" s="74"/>
      <c r="F51" s="74"/>
      <c r="G51" s="74"/>
      <c r="H51" s="74"/>
      <c r="I51" s="74">
        <v>41</v>
      </c>
      <c r="J51" s="485">
        <f>I51*($J$9+$J$10)/100</f>
        <v>909.42725778155216</v>
      </c>
    </row>
    <row r="52" spans="1:10" x14ac:dyDescent="0.25">
      <c r="A52" s="72" t="s">
        <v>8</v>
      </c>
      <c r="B52" s="74" t="s">
        <v>1235</v>
      </c>
      <c r="C52" s="74" t="s">
        <v>1209</v>
      </c>
      <c r="D52" s="74"/>
      <c r="E52" s="74">
        <v>2000</v>
      </c>
      <c r="F52" s="74" t="s">
        <v>685</v>
      </c>
      <c r="G52" s="74">
        <v>173.68</v>
      </c>
      <c r="H52" s="74">
        <f>VLOOKUP(F52,Deflator,MATCH($B$3,EXCH.year,0)+1,FALSE)/VLOOKUP(F52,Deflator,MATCH(E52,EXCH.year,0)+1,FALSE)*VLOOKUP(F52,EXCH,MATCH($B$3,EXCH.year,0)+1,FALSE)</f>
        <v>5.914974034351558</v>
      </c>
      <c r="I52" s="74" t="s">
        <v>1193</v>
      </c>
      <c r="J52" s="485">
        <f>G52*H52</f>
        <v>1027.3126902861786</v>
      </c>
    </row>
    <row r="53" spans="1:10" x14ac:dyDescent="0.25">
      <c r="A53" s="72"/>
      <c r="B53" s="74" t="s">
        <v>1236</v>
      </c>
      <c r="C53" s="74" t="s">
        <v>1209</v>
      </c>
      <c r="D53" s="74"/>
      <c r="E53" s="74">
        <v>2000</v>
      </c>
      <c r="F53" s="74" t="s">
        <v>685</v>
      </c>
      <c r="G53" s="74">
        <v>248.06</v>
      </c>
      <c r="H53" s="74">
        <f>VLOOKUP(F53,Deflator,MATCH($B$3,EXCH.year,0)+1,FALSE)/VLOOKUP(F53,Deflator,MATCH(E53,EXCH.year,0)+1,FALSE)*VLOOKUP(F53,EXCH,MATCH($B$3,EXCH.year,0)+1,FALSE)</f>
        <v>5.914974034351558</v>
      </c>
      <c r="I53" s="74" t="s">
        <v>1193</v>
      </c>
      <c r="J53" s="485">
        <f>G53*H53</f>
        <v>1467.2684589612475</v>
      </c>
    </row>
    <row r="54" spans="1:10" x14ac:dyDescent="0.25">
      <c r="A54" s="72"/>
      <c r="B54" s="74" t="s">
        <v>1237</v>
      </c>
      <c r="C54" s="74" t="s">
        <v>1205</v>
      </c>
      <c r="D54" s="74"/>
      <c r="E54" s="74"/>
      <c r="F54" s="74"/>
      <c r="G54" s="74"/>
      <c r="H54" s="74"/>
      <c r="I54" s="74"/>
      <c r="J54" s="485">
        <f>$J$14+$J$16</f>
        <v>1052.8653781145774</v>
      </c>
    </row>
    <row r="55" spans="1:10" x14ac:dyDescent="0.25">
      <c r="A55" s="72"/>
      <c r="B55" s="74" t="s">
        <v>1238</v>
      </c>
      <c r="C55" s="74" t="s">
        <v>1205</v>
      </c>
      <c r="D55" s="74"/>
      <c r="E55" s="74"/>
      <c r="F55" s="74"/>
      <c r="G55" s="74"/>
      <c r="H55" s="74"/>
      <c r="I55" s="74"/>
      <c r="J55" s="485">
        <f>$J$13+$J$16</f>
        <v>1194.8247549390148</v>
      </c>
    </row>
    <row r="56" spans="1:10" x14ac:dyDescent="0.25">
      <c r="A56" s="72" t="s">
        <v>7</v>
      </c>
      <c r="B56" s="74" t="s">
        <v>1239</v>
      </c>
      <c r="C56" s="74" t="s">
        <v>1205</v>
      </c>
      <c r="D56" s="74"/>
      <c r="E56" s="74"/>
      <c r="F56" s="74"/>
      <c r="G56" s="74"/>
      <c r="H56" s="74"/>
      <c r="I56" s="74"/>
      <c r="J56" s="485">
        <f>$J$19+$J$10</f>
        <v>2533.9127656270111</v>
      </c>
    </row>
    <row r="57" spans="1:10" x14ac:dyDescent="0.25">
      <c r="A57" s="72" t="s">
        <v>7</v>
      </c>
      <c r="B57" s="74" t="s">
        <v>1240</v>
      </c>
      <c r="C57" s="74" t="s">
        <v>1206</v>
      </c>
      <c r="D57" s="74" t="s">
        <v>1207</v>
      </c>
      <c r="E57" s="74"/>
      <c r="F57" s="74"/>
      <c r="G57" s="74"/>
      <c r="H57" s="74"/>
      <c r="I57" s="74">
        <v>105</v>
      </c>
      <c r="J57" s="485">
        <f>I57*($J$9+$J$10)/100</f>
        <v>2329.0210260259259</v>
      </c>
    </row>
    <row r="58" spans="1:10" x14ac:dyDescent="0.25">
      <c r="A58" s="72"/>
      <c r="B58" s="74" t="s">
        <v>1241</v>
      </c>
      <c r="C58" s="74" t="s">
        <v>1209</v>
      </c>
      <c r="D58" s="74"/>
      <c r="E58" s="74">
        <v>2000</v>
      </c>
      <c r="F58" s="74" t="s">
        <v>685</v>
      </c>
      <c r="G58" s="74">
        <v>243.64</v>
      </c>
      <c r="H58" s="74">
        <f t="shared" ref="H58:H63" si="6">VLOOKUP(F58,Deflator,MATCH($B$3,EXCH.year,0)+1,FALSE)/VLOOKUP(F58,Deflator,MATCH(E58,EXCH.year,0)+1,FALSE)*VLOOKUP(F58,EXCH,MATCH($B$3,EXCH.year,0)+1,FALSE)</f>
        <v>5.914974034351558</v>
      </c>
      <c r="I58" s="74" t="s">
        <v>1193</v>
      </c>
      <c r="J58" s="485">
        <f t="shared" ref="J58:J63" si="7">G58*H58</f>
        <v>1441.1242737294135</v>
      </c>
    </row>
    <row r="59" spans="1:10" x14ac:dyDescent="0.25">
      <c r="A59" s="72"/>
      <c r="B59" s="74" t="s">
        <v>1242</v>
      </c>
      <c r="C59" s="74" t="s">
        <v>1209</v>
      </c>
      <c r="D59" s="74"/>
      <c r="E59" s="74">
        <v>2000</v>
      </c>
      <c r="F59" s="74" t="s">
        <v>685</v>
      </c>
      <c r="G59" s="74">
        <v>198.05</v>
      </c>
      <c r="H59" s="74">
        <f t="shared" si="6"/>
        <v>5.914974034351558</v>
      </c>
      <c r="I59" s="74" t="s">
        <v>1193</v>
      </c>
      <c r="J59" s="485">
        <f t="shared" si="7"/>
        <v>1171.4606075033262</v>
      </c>
    </row>
    <row r="60" spans="1:10" x14ac:dyDescent="0.25">
      <c r="A60" s="72"/>
      <c r="B60" s="74" t="s">
        <v>1243</v>
      </c>
      <c r="C60" s="74" t="s">
        <v>1209</v>
      </c>
      <c r="D60" s="74"/>
      <c r="E60" s="74">
        <v>2000</v>
      </c>
      <c r="F60" s="74" t="s">
        <v>685</v>
      </c>
      <c r="G60" s="74">
        <v>243.63</v>
      </c>
      <c r="H60" s="74">
        <f t="shared" si="6"/>
        <v>5.914974034351558</v>
      </c>
      <c r="I60" s="74" t="s">
        <v>1193</v>
      </c>
      <c r="J60" s="485">
        <f t="shared" si="7"/>
        <v>1441.0651239890701</v>
      </c>
    </row>
    <row r="61" spans="1:10" x14ac:dyDescent="0.25">
      <c r="A61" s="72"/>
      <c r="B61" s="74" t="s">
        <v>1244</v>
      </c>
      <c r="C61" s="74" t="s">
        <v>1209</v>
      </c>
      <c r="D61" s="74"/>
      <c r="E61" s="74">
        <v>2000</v>
      </c>
      <c r="F61" s="74" t="s">
        <v>685</v>
      </c>
      <c r="G61" s="74">
        <v>196.48</v>
      </c>
      <c r="H61" s="74">
        <f t="shared" si="6"/>
        <v>5.914974034351558</v>
      </c>
      <c r="I61" s="74" t="s">
        <v>1193</v>
      </c>
      <c r="J61" s="485">
        <f t="shared" si="7"/>
        <v>1162.1740982693941</v>
      </c>
    </row>
    <row r="62" spans="1:10" x14ac:dyDescent="0.25">
      <c r="A62" s="72"/>
      <c r="B62" s="74" t="s">
        <v>1245</v>
      </c>
      <c r="C62" s="74" t="s">
        <v>1209</v>
      </c>
      <c r="D62" s="74"/>
      <c r="E62" s="74">
        <v>2000</v>
      </c>
      <c r="F62" s="74" t="s">
        <v>685</v>
      </c>
      <c r="G62" s="74">
        <v>187.71</v>
      </c>
      <c r="H62" s="74">
        <f t="shared" si="6"/>
        <v>5.914974034351558</v>
      </c>
      <c r="I62" s="74" t="s">
        <v>1193</v>
      </c>
      <c r="J62" s="485">
        <f t="shared" si="7"/>
        <v>1110.2997759881309</v>
      </c>
    </row>
    <row r="63" spans="1:10" x14ac:dyDescent="0.25">
      <c r="A63" s="72" t="s">
        <v>8</v>
      </c>
      <c r="B63" s="74" t="s">
        <v>1246</v>
      </c>
      <c r="C63" s="74" t="s">
        <v>1209</v>
      </c>
      <c r="D63" s="74"/>
      <c r="E63" s="74">
        <v>2000</v>
      </c>
      <c r="F63" s="74" t="s">
        <v>685</v>
      </c>
      <c r="G63" s="74">
        <v>344.39</v>
      </c>
      <c r="H63" s="74">
        <f t="shared" si="6"/>
        <v>5.914974034351558</v>
      </c>
      <c r="I63" s="74" t="s">
        <v>1193</v>
      </c>
      <c r="J63" s="485">
        <f t="shared" si="7"/>
        <v>2037.057907690333</v>
      </c>
    </row>
    <row r="64" spans="1:10" x14ac:dyDescent="0.25">
      <c r="I64" s="101"/>
    </row>
    <row r="65" spans="1:4" x14ac:dyDescent="0.25">
      <c r="A65" s="39" t="s">
        <v>1247</v>
      </c>
    </row>
    <row r="66" spans="1:4" x14ac:dyDescent="0.25">
      <c r="A66" s="39" t="s">
        <v>1248</v>
      </c>
    </row>
    <row r="67" spans="1:4" x14ac:dyDescent="0.25">
      <c r="A67" s="39" t="s">
        <v>1249</v>
      </c>
    </row>
    <row r="70" spans="1:4" x14ac:dyDescent="0.25">
      <c r="B70" s="609" t="s">
        <v>772</v>
      </c>
      <c r="C70" s="610" t="s">
        <v>773</v>
      </c>
    </row>
    <row r="71" spans="1:4" x14ac:dyDescent="0.25">
      <c r="B71" s="80"/>
      <c r="C71" s="491" t="s">
        <v>774</v>
      </c>
    </row>
    <row r="72" spans="1:4" x14ac:dyDescent="0.25">
      <c r="B72" s="72" t="s">
        <v>8</v>
      </c>
      <c r="C72" s="485">
        <f t="array" ref="C72">AVERAGE(IF($A$23:$A$63=B72,$J$23:$J$63))</f>
        <v>1384.2074360838658</v>
      </c>
    </row>
    <row r="73" spans="1:4" x14ac:dyDescent="0.25">
      <c r="B73" s="72" t="s">
        <v>9</v>
      </c>
      <c r="C73" s="485">
        <f t="array" ref="C73">AVERAGE(IF($A$23:$A$63=B73,$J$23:$J$63))</f>
        <v>1878.2763447122002</v>
      </c>
      <c r="D73" s="23" t="s">
        <v>1250</v>
      </c>
    </row>
    <row r="74" spans="1:4" x14ac:dyDescent="0.25">
      <c r="B74" s="72" t="s">
        <v>7</v>
      </c>
      <c r="C74" s="485">
        <f t="array" ref="C74">AVERAGE(IF($A$23:$A$63=B74,$J$23:$J$63))</f>
        <v>2261.1181094751337</v>
      </c>
    </row>
    <row r="75" spans="1:4" x14ac:dyDescent="0.25">
      <c r="B75" s="72" t="s">
        <v>9</v>
      </c>
      <c r="C75" s="485">
        <f>C73*1.2</f>
        <v>2253.9316136546399</v>
      </c>
      <c r="D75" s="23" t="s">
        <v>1251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70C0"/>
  </sheetPr>
  <dimension ref="B1:U218"/>
  <sheetViews>
    <sheetView workbookViewId="0"/>
  </sheetViews>
  <sheetFormatPr defaultColWidth="12.5703125" defaultRowHeight="15.75" x14ac:dyDescent="0.25"/>
  <cols>
    <col min="1" max="1" width="9.7109375" style="23" customWidth="1"/>
    <col min="2" max="2" width="41.5703125" style="23" customWidth="1"/>
    <col min="3" max="3" width="29.28515625" style="23" customWidth="1"/>
    <col min="4" max="4" width="15.5703125" style="23" bestFit="1" customWidth="1"/>
    <col min="5" max="5" width="16.42578125" style="23" bestFit="1" customWidth="1"/>
    <col min="6" max="6" width="16.42578125" style="23" customWidth="1"/>
    <col min="7" max="7" width="16.42578125" style="23" bestFit="1" customWidth="1"/>
    <col min="8" max="8" width="16.42578125" style="23" customWidth="1"/>
    <col min="9" max="9" width="14.28515625" style="23" customWidth="1"/>
    <col min="10" max="10" width="20.42578125" style="23" customWidth="1"/>
    <col min="11" max="11" width="13.5703125" style="23" bestFit="1" customWidth="1"/>
    <col min="12" max="12" width="17" style="23" bestFit="1" customWidth="1"/>
    <col min="13" max="13" width="34.85546875" style="23" customWidth="1"/>
    <col min="14" max="14" width="20.140625" style="23" bestFit="1" customWidth="1"/>
    <col min="15" max="15" width="13.85546875" style="23" bestFit="1" customWidth="1"/>
    <col min="16" max="16" width="13.85546875" style="23" customWidth="1"/>
    <col min="17" max="17" width="15.42578125" style="23" customWidth="1"/>
    <col min="18" max="18" width="12.7109375" style="23" bestFit="1" customWidth="1"/>
    <col min="19" max="19" width="14.42578125" style="23" bestFit="1" customWidth="1"/>
    <col min="20" max="16384" width="12.5703125" style="23"/>
  </cols>
  <sheetData>
    <row r="1" spans="2:11" ht="20.25" thickBot="1" x14ac:dyDescent="0.35">
      <c r="B1" s="22" t="s">
        <v>44</v>
      </c>
      <c r="C1" s="22"/>
    </row>
    <row r="2" spans="2:11" ht="16.5" thickTop="1" x14ac:dyDescent="0.25"/>
    <row r="3" spans="2:11" ht="18" thickBot="1" x14ac:dyDescent="0.35">
      <c r="B3" s="24" t="s">
        <v>45</v>
      </c>
      <c r="C3" s="24"/>
    </row>
    <row r="4" spans="2:11" ht="16.5" thickTop="1" x14ac:dyDescent="0.25">
      <c r="B4" s="25" t="s">
        <v>46</v>
      </c>
      <c r="C4" s="26"/>
      <c r="D4" s="26" t="s">
        <v>7</v>
      </c>
      <c r="E4" s="26" t="s">
        <v>47</v>
      </c>
      <c r="F4" s="26" t="s">
        <v>48</v>
      </c>
      <c r="G4" s="26" t="s">
        <v>8</v>
      </c>
      <c r="H4" s="26" t="s">
        <v>49</v>
      </c>
      <c r="I4" s="26" t="s">
        <v>10</v>
      </c>
      <c r="J4" s="27" t="s">
        <v>3</v>
      </c>
    </row>
    <row r="5" spans="2:11" x14ac:dyDescent="0.25">
      <c r="B5" s="28" t="s">
        <v>50</v>
      </c>
      <c r="C5" s="29"/>
      <c r="D5" s="29">
        <v>3</v>
      </c>
      <c r="E5" s="29">
        <v>1.44</v>
      </c>
      <c r="F5" s="29"/>
      <c r="G5" s="29"/>
      <c r="H5" s="29"/>
      <c r="I5" s="29"/>
      <c r="J5" s="30">
        <f t="shared" ref="J5:J13" si="0">SUM(D5:I5)</f>
        <v>4.4399999999999995</v>
      </c>
    </row>
    <row r="6" spans="2:11" x14ac:dyDescent="0.25">
      <c r="B6" s="28" t="s">
        <v>51</v>
      </c>
      <c r="C6" s="29"/>
      <c r="D6" s="29"/>
      <c r="E6" s="29"/>
      <c r="F6" s="29"/>
      <c r="G6" s="29"/>
      <c r="H6" s="29">
        <v>1.24</v>
      </c>
      <c r="I6" s="29"/>
      <c r="J6" s="30">
        <f t="shared" si="0"/>
        <v>1.24</v>
      </c>
    </row>
    <row r="7" spans="2:11" x14ac:dyDescent="0.25">
      <c r="B7" s="28" t="s">
        <v>52</v>
      </c>
      <c r="C7" s="29"/>
      <c r="D7" s="29">
        <v>1.6</v>
      </c>
      <c r="E7" s="29"/>
      <c r="F7" s="29"/>
      <c r="G7" s="29"/>
      <c r="H7" s="29"/>
      <c r="I7" s="29"/>
      <c r="J7" s="30">
        <f t="shared" si="0"/>
        <v>1.6</v>
      </c>
    </row>
    <row r="8" spans="2:11" x14ac:dyDescent="0.25">
      <c r="B8" s="28" t="s">
        <v>53</v>
      </c>
      <c r="C8" s="29"/>
      <c r="D8" s="29"/>
      <c r="E8" s="29"/>
      <c r="F8" s="29"/>
      <c r="G8" s="29">
        <v>0.6</v>
      </c>
      <c r="H8" s="29"/>
      <c r="I8" s="29"/>
      <c r="J8" s="30">
        <f t="shared" si="0"/>
        <v>0.6</v>
      </c>
    </row>
    <row r="9" spans="2:11" x14ac:dyDescent="0.25">
      <c r="B9" s="28" t="s">
        <v>54</v>
      </c>
      <c r="C9" s="29"/>
      <c r="D9" s="29"/>
      <c r="E9" s="29"/>
      <c r="F9" s="29"/>
      <c r="G9" s="29">
        <v>0.46500000000000002</v>
      </c>
      <c r="H9" s="29"/>
      <c r="I9" s="29"/>
      <c r="J9" s="30">
        <f t="shared" si="0"/>
        <v>0.46500000000000002</v>
      </c>
    </row>
    <row r="10" spans="2:11" x14ac:dyDescent="0.25">
      <c r="B10" s="28" t="s">
        <v>55</v>
      </c>
      <c r="C10" s="29"/>
      <c r="D10" s="29"/>
      <c r="E10" s="29"/>
      <c r="F10" s="29"/>
      <c r="G10" s="29"/>
      <c r="H10" s="29"/>
      <c r="I10" s="29">
        <v>1</v>
      </c>
      <c r="J10" s="30">
        <f t="shared" si="0"/>
        <v>1</v>
      </c>
    </row>
    <row r="11" spans="2:11" x14ac:dyDescent="0.25">
      <c r="B11" s="28" t="s">
        <v>56</v>
      </c>
      <c r="C11" s="29"/>
      <c r="D11" s="29">
        <v>0.5</v>
      </c>
      <c r="E11" s="29"/>
      <c r="F11" s="29"/>
      <c r="G11" s="29">
        <v>1.1000000000000001</v>
      </c>
      <c r="H11" s="29"/>
      <c r="I11" s="29"/>
      <c r="J11" s="30">
        <f t="shared" si="0"/>
        <v>1.6</v>
      </c>
    </row>
    <row r="12" spans="2:11" x14ac:dyDescent="0.25">
      <c r="B12" s="31" t="s">
        <v>57</v>
      </c>
      <c r="C12" s="32"/>
      <c r="D12" s="32">
        <f>SUM(D5:D11)</f>
        <v>5.0999999999999996</v>
      </c>
      <c r="E12" s="32">
        <f>SUM(E5:E11)</f>
        <v>1.44</v>
      </c>
      <c r="F12" s="32">
        <v>0</v>
      </c>
      <c r="G12" s="32">
        <f>SUM(G5:G11)</f>
        <v>2.165</v>
      </c>
      <c r="H12" s="32">
        <f>SUM(H5:H11)</f>
        <v>1.24</v>
      </c>
      <c r="I12" s="32">
        <f>SUM(I5:I11)</f>
        <v>1</v>
      </c>
      <c r="J12" s="33">
        <f t="shared" si="0"/>
        <v>10.944999999999999</v>
      </c>
      <c r="K12" s="34"/>
    </row>
    <row r="13" spans="2:11" x14ac:dyDescent="0.25">
      <c r="B13" s="35" t="s">
        <v>58</v>
      </c>
      <c r="C13" s="36"/>
      <c r="D13" s="37">
        <f t="shared" ref="D13:I13" si="1">D12/$J$38*100</f>
        <v>54.819552306989486</v>
      </c>
      <c r="E13" s="37">
        <f t="shared" si="1"/>
        <v>15.478461827855854</v>
      </c>
      <c r="F13" s="37">
        <f t="shared" si="1"/>
        <v>0</v>
      </c>
      <c r="G13" s="37">
        <f t="shared" si="1"/>
        <v>23.271437400908283</v>
      </c>
      <c r="H13" s="37">
        <f t="shared" si="1"/>
        <v>13.328675462875877</v>
      </c>
      <c r="I13" s="37">
        <f t="shared" si="1"/>
        <v>10.7489318248999</v>
      </c>
      <c r="J13" s="38">
        <f t="shared" si="0"/>
        <v>117.64705882352941</v>
      </c>
    </row>
    <row r="15" spans="2:11" ht="18" thickBot="1" x14ac:dyDescent="0.35">
      <c r="B15" s="24" t="s">
        <v>59</v>
      </c>
      <c r="C15" s="24"/>
    </row>
    <row r="16" spans="2:11" ht="16.5" thickTop="1" x14ac:dyDescent="0.25">
      <c r="B16" s="25" t="s">
        <v>46</v>
      </c>
      <c r="C16" s="26"/>
      <c r="D16" s="26" t="s">
        <v>7</v>
      </c>
      <c r="E16" s="26" t="s">
        <v>47</v>
      </c>
      <c r="F16" s="26" t="s">
        <v>48</v>
      </c>
      <c r="G16" s="26" t="s">
        <v>8</v>
      </c>
      <c r="H16" s="26" t="s">
        <v>49</v>
      </c>
      <c r="I16" s="26" t="s">
        <v>10</v>
      </c>
      <c r="J16" s="27" t="s">
        <v>3</v>
      </c>
    </row>
    <row r="17" spans="2:14" x14ac:dyDescent="0.25">
      <c r="B17" s="28" t="s">
        <v>50</v>
      </c>
      <c r="C17" s="29"/>
      <c r="D17" s="29">
        <v>0.85</v>
      </c>
      <c r="E17" s="29">
        <v>0.85</v>
      </c>
      <c r="F17" s="29"/>
      <c r="G17" s="29"/>
      <c r="H17" s="29"/>
      <c r="I17" s="29"/>
      <c r="J17" s="30"/>
    </row>
    <row r="18" spans="2:14" x14ac:dyDescent="0.25">
      <c r="B18" s="28" t="s">
        <v>51</v>
      </c>
      <c r="C18" s="29"/>
      <c r="D18" s="29"/>
      <c r="E18" s="29"/>
      <c r="F18" s="29"/>
      <c r="G18" s="29"/>
      <c r="H18" s="29">
        <v>0.85</v>
      </c>
      <c r="I18" s="29"/>
      <c r="J18" s="30"/>
    </row>
    <row r="19" spans="2:14" x14ac:dyDescent="0.25">
      <c r="B19" s="28" t="s">
        <v>52</v>
      </c>
      <c r="C19" s="29"/>
      <c r="D19" s="29">
        <v>0.85</v>
      </c>
      <c r="E19" s="29"/>
      <c r="F19" s="29"/>
      <c r="G19" s="29"/>
      <c r="H19" s="29"/>
      <c r="I19" s="29"/>
      <c r="J19" s="30"/>
    </row>
    <row r="20" spans="2:14" x14ac:dyDescent="0.25">
      <c r="B20" s="28" t="s">
        <v>53</v>
      </c>
      <c r="C20" s="29"/>
      <c r="D20" s="29"/>
      <c r="E20" s="29"/>
      <c r="F20" s="29"/>
      <c r="G20" s="29">
        <v>0.85</v>
      </c>
      <c r="H20" s="29"/>
      <c r="I20" s="29"/>
      <c r="J20" s="30"/>
    </row>
    <row r="21" spans="2:14" x14ac:dyDescent="0.25">
      <c r="B21" s="28" t="s">
        <v>54</v>
      </c>
      <c r="C21" s="29"/>
      <c r="D21" s="29"/>
      <c r="E21" s="29"/>
      <c r="F21" s="29"/>
      <c r="G21" s="29">
        <v>0.85</v>
      </c>
      <c r="H21" s="29"/>
      <c r="I21" s="29"/>
      <c r="J21" s="30"/>
    </row>
    <row r="22" spans="2:14" x14ac:dyDescent="0.25">
      <c r="B22" s="28" t="s">
        <v>55</v>
      </c>
      <c r="C22" s="29"/>
      <c r="D22" s="29"/>
      <c r="E22" s="29"/>
      <c r="F22" s="29"/>
      <c r="G22" s="29"/>
      <c r="H22" s="29"/>
      <c r="I22" s="29">
        <v>0.85</v>
      </c>
      <c r="J22" s="30"/>
    </row>
    <row r="23" spans="2:14" x14ac:dyDescent="0.25">
      <c r="B23" s="28" t="s">
        <v>56</v>
      </c>
      <c r="C23" s="29"/>
      <c r="D23" s="29">
        <v>0.85</v>
      </c>
      <c r="E23" s="29">
        <v>0</v>
      </c>
      <c r="F23" s="29"/>
      <c r="G23" s="29">
        <v>0.85</v>
      </c>
      <c r="H23" s="29"/>
      <c r="I23" s="29"/>
      <c r="J23" s="30"/>
    </row>
    <row r="24" spans="2:14" x14ac:dyDescent="0.25">
      <c r="B24" s="31" t="s">
        <v>57</v>
      </c>
      <c r="C24" s="32"/>
      <c r="D24" s="32">
        <f>SUM(D17:D23)</f>
        <v>2.5499999999999998</v>
      </c>
      <c r="E24" s="32">
        <f>SUM(E17:E23)</f>
        <v>0.85</v>
      </c>
      <c r="F24" s="32">
        <v>0</v>
      </c>
      <c r="G24" s="32">
        <f>SUM(G17:G23)</f>
        <v>2.5499999999999998</v>
      </c>
      <c r="H24" s="32">
        <f>SUM(H17:H23)</f>
        <v>0.85</v>
      </c>
      <c r="I24" s="32">
        <f>SUM(I17:I23)</f>
        <v>0.85</v>
      </c>
      <c r="J24" s="33"/>
      <c r="K24" s="34"/>
    </row>
    <row r="25" spans="2:14" x14ac:dyDescent="0.25">
      <c r="B25" s="35" t="s">
        <v>58</v>
      </c>
      <c r="C25" s="36"/>
      <c r="D25" s="37"/>
      <c r="E25" s="37"/>
      <c r="F25" s="37"/>
      <c r="G25" s="37"/>
      <c r="H25" s="37"/>
      <c r="I25" s="37"/>
      <c r="J25" s="38"/>
    </row>
    <row r="29" spans="2:14" ht="18" thickBot="1" x14ac:dyDescent="0.35">
      <c r="B29" s="24" t="s">
        <v>60</v>
      </c>
      <c r="C29" s="24"/>
      <c r="M29" s="39" t="s">
        <v>61</v>
      </c>
    </row>
    <row r="30" spans="2:14" ht="16.5" thickTop="1" x14ac:dyDescent="0.25">
      <c r="B30" s="25" t="s">
        <v>46</v>
      </c>
      <c r="C30" s="26"/>
      <c r="D30" s="26" t="s">
        <v>7</v>
      </c>
      <c r="E30" s="26" t="s">
        <v>47</v>
      </c>
      <c r="F30" s="26" t="s">
        <v>48</v>
      </c>
      <c r="G30" s="26" t="s">
        <v>8</v>
      </c>
      <c r="H30" s="26" t="s">
        <v>49</v>
      </c>
      <c r="I30" s="26" t="s">
        <v>10</v>
      </c>
      <c r="J30" s="27" t="s">
        <v>3</v>
      </c>
      <c r="M30" s="25" t="s">
        <v>62</v>
      </c>
      <c r="N30" s="27" t="s">
        <v>63</v>
      </c>
    </row>
    <row r="31" spans="2:14" x14ac:dyDescent="0.25">
      <c r="B31" s="28" t="s">
        <v>50</v>
      </c>
      <c r="C31" s="29"/>
      <c r="D31" s="29">
        <f t="shared" ref="D31:I31" si="2">D17*D5</f>
        <v>2.5499999999999998</v>
      </c>
      <c r="E31" s="29">
        <f t="shared" si="2"/>
        <v>1.224</v>
      </c>
      <c r="F31" s="29">
        <f t="shared" si="2"/>
        <v>0</v>
      </c>
      <c r="G31" s="29">
        <f t="shared" si="2"/>
        <v>0</v>
      </c>
      <c r="H31" s="29">
        <f t="shared" si="2"/>
        <v>0</v>
      </c>
      <c r="I31" s="29">
        <f t="shared" si="2"/>
        <v>0</v>
      </c>
      <c r="J31" s="30">
        <f t="shared" ref="J31:J38" si="3">SUM(D31:I31)</f>
        <v>3.774</v>
      </c>
      <c r="M31" s="40" t="s">
        <v>7</v>
      </c>
      <c r="N31" s="41">
        <f>[8]Production!AO35</f>
        <v>0.59233540511054661</v>
      </c>
    </row>
    <row r="32" spans="2:14" x14ac:dyDescent="0.25">
      <c r="B32" s="28" t="s">
        <v>51</v>
      </c>
      <c r="C32" s="29"/>
      <c r="D32" s="29">
        <f t="shared" ref="D32:I37" si="4">D18*D6</f>
        <v>0</v>
      </c>
      <c r="E32" s="29">
        <f t="shared" si="4"/>
        <v>0</v>
      </c>
      <c r="F32" s="29">
        <f t="shared" si="4"/>
        <v>0</v>
      </c>
      <c r="G32" s="29">
        <f t="shared" si="4"/>
        <v>0</v>
      </c>
      <c r="H32" s="29">
        <f t="shared" si="4"/>
        <v>1.054</v>
      </c>
      <c r="I32" s="29">
        <f t="shared" si="4"/>
        <v>0</v>
      </c>
      <c r="J32" s="30">
        <f t="shared" si="3"/>
        <v>1.054</v>
      </c>
      <c r="M32" s="40" t="s">
        <v>8</v>
      </c>
      <c r="N32" s="41">
        <f>[8]Production!AO36</f>
        <v>9.0422572152734901E-2</v>
      </c>
    </row>
    <row r="33" spans="2:15" x14ac:dyDescent="0.25">
      <c r="B33" s="28" t="s">
        <v>52</v>
      </c>
      <c r="C33" s="29"/>
      <c r="D33" s="29">
        <f t="shared" si="4"/>
        <v>1.36</v>
      </c>
      <c r="E33" s="29">
        <f t="shared" si="4"/>
        <v>0</v>
      </c>
      <c r="F33" s="29">
        <f t="shared" si="4"/>
        <v>0</v>
      </c>
      <c r="G33" s="29">
        <f t="shared" si="4"/>
        <v>0</v>
      </c>
      <c r="H33" s="29">
        <f t="shared" si="4"/>
        <v>0</v>
      </c>
      <c r="I33" s="29">
        <f t="shared" si="4"/>
        <v>0</v>
      </c>
      <c r="J33" s="30">
        <f t="shared" si="3"/>
        <v>1.36</v>
      </c>
      <c r="M33" s="40" t="s">
        <v>9</v>
      </c>
      <c r="N33" s="41">
        <f>[8]Production!AO37</f>
        <v>0.22312875593976952</v>
      </c>
    </row>
    <row r="34" spans="2:15" x14ac:dyDescent="0.25">
      <c r="B34" s="28" t="s">
        <v>53</v>
      </c>
      <c r="C34" s="29"/>
      <c r="D34" s="29">
        <f t="shared" si="4"/>
        <v>0</v>
      </c>
      <c r="E34" s="29">
        <f t="shared" si="4"/>
        <v>0</v>
      </c>
      <c r="F34" s="29">
        <f t="shared" si="4"/>
        <v>0</v>
      </c>
      <c r="G34" s="29">
        <f t="shared" si="4"/>
        <v>0.51</v>
      </c>
      <c r="H34" s="29">
        <f t="shared" si="4"/>
        <v>0</v>
      </c>
      <c r="I34" s="29">
        <f t="shared" si="4"/>
        <v>0</v>
      </c>
      <c r="J34" s="30">
        <f t="shared" si="3"/>
        <v>0.51</v>
      </c>
      <c r="M34" s="42" t="s">
        <v>10</v>
      </c>
      <c r="N34" s="43">
        <f>[8]Production!AO38</f>
        <v>9.4113266796948924E-2</v>
      </c>
    </row>
    <row r="35" spans="2:15" x14ac:dyDescent="0.25">
      <c r="B35" s="28" t="s">
        <v>54</v>
      </c>
      <c r="C35" s="29"/>
      <c r="D35" s="29">
        <f t="shared" si="4"/>
        <v>0</v>
      </c>
      <c r="E35" s="29">
        <f t="shared" si="4"/>
        <v>0</v>
      </c>
      <c r="F35" s="29">
        <f t="shared" si="4"/>
        <v>0</v>
      </c>
      <c r="G35" s="29">
        <f>G21*G9</f>
        <v>0.39524999999999999</v>
      </c>
      <c r="H35" s="29">
        <f t="shared" si="4"/>
        <v>0</v>
      </c>
      <c r="I35" s="29">
        <f t="shared" si="4"/>
        <v>0</v>
      </c>
      <c r="J35" s="30">
        <f t="shared" si="3"/>
        <v>0.39524999999999999</v>
      </c>
      <c r="M35" s="44"/>
      <c r="N35" s="45"/>
    </row>
    <row r="36" spans="2:15" x14ac:dyDescent="0.25">
      <c r="B36" s="28" t="s">
        <v>55</v>
      </c>
      <c r="C36" s="29"/>
      <c r="D36" s="29">
        <f t="shared" si="4"/>
        <v>0</v>
      </c>
      <c r="E36" s="29">
        <f t="shared" si="4"/>
        <v>0</v>
      </c>
      <c r="F36" s="29">
        <f t="shared" si="4"/>
        <v>0</v>
      </c>
      <c r="G36" s="29">
        <f t="shared" si="4"/>
        <v>0</v>
      </c>
      <c r="H36" s="29">
        <f t="shared" si="4"/>
        <v>0</v>
      </c>
      <c r="I36" s="29">
        <f t="shared" si="4"/>
        <v>0.85</v>
      </c>
      <c r="J36" s="30">
        <f t="shared" si="3"/>
        <v>0.85</v>
      </c>
    </row>
    <row r="37" spans="2:15" ht="16.5" thickBot="1" x14ac:dyDescent="0.3">
      <c r="B37" s="28" t="s">
        <v>56</v>
      </c>
      <c r="C37" s="29"/>
      <c r="D37" s="29">
        <f t="shared" si="4"/>
        <v>0.42499999999999999</v>
      </c>
      <c r="E37" s="29">
        <f t="shared" si="4"/>
        <v>0</v>
      </c>
      <c r="F37" s="29">
        <f t="shared" si="4"/>
        <v>0</v>
      </c>
      <c r="G37" s="29">
        <f t="shared" si="4"/>
        <v>0.93500000000000005</v>
      </c>
      <c r="H37" s="29">
        <f t="shared" si="4"/>
        <v>0</v>
      </c>
      <c r="I37" s="29">
        <f t="shared" si="4"/>
        <v>0</v>
      </c>
      <c r="J37" s="30">
        <f t="shared" si="3"/>
        <v>1.36</v>
      </c>
    </row>
    <row r="38" spans="2:15" ht="17.25" thickTop="1" thickBot="1" x14ac:dyDescent="0.3">
      <c r="B38" s="31" t="s">
        <v>57</v>
      </c>
      <c r="C38" s="32"/>
      <c r="D38" s="32">
        <f>SUM(D31:D37)</f>
        <v>4.335</v>
      </c>
      <c r="E38" s="32">
        <f>SUM(E31:E37)</f>
        <v>1.224</v>
      </c>
      <c r="F38" s="32">
        <v>0</v>
      </c>
      <c r="G38" s="32">
        <f>SUM(G31:G37)</f>
        <v>1.8402500000000002</v>
      </c>
      <c r="H38" s="32">
        <f>SUM(H31:H37)</f>
        <v>1.054</v>
      </c>
      <c r="I38" s="32">
        <f>SUM(I31:I37)</f>
        <v>0.85</v>
      </c>
      <c r="J38" s="33">
        <f t="shared" si="3"/>
        <v>9.3032500000000002</v>
      </c>
      <c r="K38" s="34"/>
      <c r="M38" s="46" t="s">
        <v>64</v>
      </c>
      <c r="N38" s="47">
        <f>[8]Production!AO13/1000</f>
        <v>9.718</v>
      </c>
      <c r="O38" s="23">
        <f>N38/0.85</f>
        <v>11.432941176470589</v>
      </c>
    </row>
    <row r="39" spans="2:15" ht="16.5" thickTop="1" x14ac:dyDescent="0.25">
      <c r="B39" s="35" t="s">
        <v>58</v>
      </c>
      <c r="C39" s="36"/>
      <c r="D39" s="37">
        <f t="shared" ref="D39:I39" si="5">D38/$J$38*100</f>
        <v>46.596619460941071</v>
      </c>
      <c r="E39" s="37">
        <f t="shared" si="5"/>
        <v>13.156692553677477</v>
      </c>
      <c r="F39" s="37">
        <f t="shared" si="5"/>
        <v>0</v>
      </c>
      <c r="G39" s="37">
        <f t="shared" si="5"/>
        <v>19.780721790772045</v>
      </c>
      <c r="H39" s="37">
        <f t="shared" si="5"/>
        <v>11.329374143444495</v>
      </c>
      <c r="I39" s="37">
        <f t="shared" si="5"/>
        <v>9.1365920511649161</v>
      </c>
      <c r="J39" s="38">
        <f>SUM(D39:I39)</f>
        <v>100</v>
      </c>
    </row>
    <row r="40" spans="2:15" ht="16.5" thickBot="1" x14ac:dyDescent="0.3">
      <c r="B40" s="48"/>
      <c r="C40" s="48"/>
      <c r="D40" s="49"/>
      <c r="E40" s="49"/>
      <c r="F40" s="49"/>
      <c r="G40" s="49"/>
      <c r="H40" s="49"/>
      <c r="I40" s="49"/>
      <c r="J40" s="48"/>
    </row>
    <row r="41" spans="2:15" ht="17.25" thickTop="1" thickBot="1" x14ac:dyDescent="0.3">
      <c r="B41" s="50" t="s">
        <v>65</v>
      </c>
      <c r="C41" s="48"/>
      <c r="D41" s="51">
        <v>0.1</v>
      </c>
      <c r="E41" s="51">
        <v>0.1</v>
      </c>
      <c r="F41" s="51"/>
      <c r="G41" s="51">
        <v>1</v>
      </c>
      <c r="H41" s="51">
        <v>0.1</v>
      </c>
      <c r="I41" s="51">
        <v>0.1</v>
      </c>
      <c r="J41" s="45">
        <f>J42/J38</f>
        <v>0.27802649611694841</v>
      </c>
      <c r="M41" s="23" t="s">
        <v>66</v>
      </c>
      <c r="N41" s="52">
        <f>[8]Production!AO22</f>
        <v>0.18573780613294916</v>
      </c>
    </row>
    <row r="42" spans="2:15" ht="16.5" thickTop="1" x14ac:dyDescent="0.25">
      <c r="B42" s="50" t="s">
        <v>67</v>
      </c>
      <c r="C42" s="48"/>
      <c r="D42" s="53">
        <f>D38*D41</f>
        <v>0.4335</v>
      </c>
      <c r="E42" s="53">
        <f>E38*E41</f>
        <v>0.12240000000000001</v>
      </c>
      <c r="F42" s="53"/>
      <c r="G42" s="53">
        <f>G38*G41</f>
        <v>1.8402500000000002</v>
      </c>
      <c r="H42" s="53">
        <f>H38*H41</f>
        <v>0.10540000000000001</v>
      </c>
      <c r="I42" s="53">
        <f>I38*I41</f>
        <v>8.5000000000000006E-2</v>
      </c>
      <c r="J42" s="53">
        <f>SUM(D42:I42)</f>
        <v>2.5865500000000003</v>
      </c>
    </row>
    <row r="43" spans="2:15" x14ac:dyDescent="0.25">
      <c r="B43" s="50"/>
      <c r="C43" s="48"/>
      <c r="D43" s="53"/>
      <c r="E43" s="53"/>
      <c r="F43" s="53"/>
      <c r="G43" s="53"/>
      <c r="H43" s="53"/>
      <c r="I43" s="53"/>
      <c r="J43" s="53"/>
    </row>
    <row r="44" spans="2:15" x14ac:dyDescent="0.25">
      <c r="B44" s="54" t="s">
        <v>68</v>
      </c>
      <c r="C44" s="48"/>
      <c r="D44" s="53"/>
      <c r="E44" s="53"/>
      <c r="F44" s="53"/>
      <c r="G44" s="53"/>
      <c r="H44" s="53"/>
      <c r="I44" s="53"/>
      <c r="J44" s="53"/>
    </row>
    <row r="45" spans="2:15" x14ac:dyDescent="0.25">
      <c r="B45" s="55" t="s">
        <v>69</v>
      </c>
      <c r="C45" s="48"/>
      <c r="D45" s="53"/>
      <c r="E45" s="53"/>
      <c r="F45" s="53"/>
      <c r="G45" s="53"/>
      <c r="H45" s="53"/>
      <c r="I45" s="53"/>
      <c r="J45" s="53"/>
    </row>
    <row r="46" spans="2:15" x14ac:dyDescent="0.25">
      <c r="B46" s="50"/>
      <c r="C46" s="48"/>
      <c r="D46" s="53"/>
      <c r="E46" s="53"/>
      <c r="F46" s="53"/>
      <c r="G46" s="53"/>
      <c r="H46" s="53"/>
      <c r="I46" s="53"/>
      <c r="J46" s="53"/>
    </row>
    <row r="48" spans="2:15" ht="18" thickBot="1" x14ac:dyDescent="0.35">
      <c r="B48" s="24" t="s">
        <v>70</v>
      </c>
      <c r="C48" s="24"/>
    </row>
    <row r="49" spans="2:21" ht="16.5" thickTop="1" x14ac:dyDescent="0.25">
      <c r="B49" s="25" t="s">
        <v>71</v>
      </c>
      <c r="C49" s="26"/>
      <c r="D49" s="26" t="str">
        <f>D30</f>
        <v>BF-BOF</v>
      </c>
      <c r="E49" s="26" t="str">
        <f>E30</f>
        <v>DRI-EAF (coal)</v>
      </c>
      <c r="F49" s="26" t="str">
        <f>F30</f>
        <v>DRI-EAF (gas)</v>
      </c>
      <c r="G49" s="26" t="str">
        <f>G30</f>
        <v>Scrap-EAF</v>
      </c>
      <c r="H49" s="26" t="s">
        <v>49</v>
      </c>
      <c r="I49" s="26" t="str">
        <f>I30</f>
        <v>Other-EAF</v>
      </c>
      <c r="J49" s="27" t="s">
        <v>3</v>
      </c>
      <c r="M49" s="25" t="s">
        <v>72</v>
      </c>
      <c r="N49" s="25" t="s">
        <v>73</v>
      </c>
      <c r="O49" s="25" t="s">
        <v>74</v>
      </c>
      <c r="P49" s="25" t="s">
        <v>75</v>
      </c>
      <c r="Q49" s="25" t="s">
        <v>76</v>
      </c>
      <c r="R49" s="25" t="s">
        <v>77</v>
      </c>
      <c r="S49" s="56" t="s">
        <v>78</v>
      </c>
      <c r="T49" s="56" t="s">
        <v>18</v>
      </c>
      <c r="U49" s="27" t="s">
        <v>3</v>
      </c>
    </row>
    <row r="50" spans="2:21" x14ac:dyDescent="0.25">
      <c r="B50" s="28" t="s">
        <v>79</v>
      </c>
      <c r="C50" s="29"/>
      <c r="D50" s="102">
        <f t="array" ref="D50">SUM(D$31:D$37*TRANSPOSE($N50:$T50))</f>
        <v>1.105</v>
      </c>
      <c r="E50" s="102">
        <f t="array" ref="E50">SUM(E$31:E$37*TRANSPOSE($N50:$T50))</f>
        <v>0</v>
      </c>
      <c r="F50" s="102">
        <f t="array" ref="F50">SUM(F$31:F$37*TRANSPOSE($N50:$T50))</f>
        <v>0</v>
      </c>
      <c r="G50" s="102">
        <f t="array" ref="G50">SUM(G$31:G$37*TRANSPOSE($N50:$T50))</f>
        <v>0.18700000000000003</v>
      </c>
      <c r="H50" s="102">
        <f t="array" ref="H50">SUM(H$31:H$37*TRANSPOSE($N50:$T50))</f>
        <v>0</v>
      </c>
      <c r="I50" s="102">
        <f t="array" ref="I50">SUM(I$31:I$37*TRANSPOSE($N50:$T50))</f>
        <v>0.21249999999999999</v>
      </c>
      <c r="J50" s="103">
        <f t="shared" ref="J50:J57" si="6">SUM(D50:I50)</f>
        <v>1.5044999999999999</v>
      </c>
      <c r="M50" s="28" t="s">
        <v>79</v>
      </c>
      <c r="N50" s="29"/>
      <c r="O50" s="29"/>
      <c r="P50" s="58">
        <v>0.75</v>
      </c>
      <c r="Q50" s="29"/>
      <c r="R50" s="29"/>
      <c r="S50" s="59">
        <v>0.25</v>
      </c>
      <c r="T50" s="59">
        <v>0.2</v>
      </c>
      <c r="U50" s="30">
        <f>SUM(N50:T50)</f>
        <v>1.2</v>
      </c>
    </row>
    <row r="51" spans="2:21" x14ac:dyDescent="0.25">
      <c r="B51" s="28" t="s">
        <v>80</v>
      </c>
      <c r="C51" s="29"/>
      <c r="D51" s="102">
        <f t="array" ref="D51">SUM(D$31:D$37*TRANSPOSE($N51:$T51))</f>
        <v>1.3599999999999999</v>
      </c>
      <c r="E51" s="102">
        <f t="array" ref="E51">SUM(E$31:E$37*TRANSPOSE($N51:$T51))</f>
        <v>0.61199999999999999</v>
      </c>
      <c r="F51" s="102">
        <f t="array" ref="F51">SUM(F$31:F$37*TRANSPOSE($N51:$T51))</f>
        <v>0</v>
      </c>
      <c r="G51" s="102">
        <f t="array" ref="G51">SUM(G$31:G$37*TRANSPOSE($N51:$T51))</f>
        <v>0.3253375</v>
      </c>
      <c r="H51" s="102">
        <f t="array" ref="H51">SUM(H$31:H$37*TRANSPOSE($N51:$T51))</f>
        <v>0</v>
      </c>
      <c r="I51" s="102">
        <f t="array" ref="I51">SUM(I$31:I$37*TRANSPOSE($N51:$T51))</f>
        <v>0.42499999999999999</v>
      </c>
      <c r="J51" s="103">
        <f t="shared" si="6"/>
        <v>2.7223374999999996</v>
      </c>
      <c r="M51" s="28" t="s">
        <v>80</v>
      </c>
      <c r="N51" s="58">
        <v>0.5</v>
      </c>
      <c r="O51" s="29"/>
      <c r="P51" s="29"/>
      <c r="Q51" s="29"/>
      <c r="R51" s="58">
        <v>0.35</v>
      </c>
      <c r="S51" s="58">
        <v>0.5</v>
      </c>
      <c r="T51" s="59">
        <v>0.2</v>
      </c>
      <c r="U51" s="30">
        <f t="shared" ref="U51:U57" si="7">SUM(N51:T51)</f>
        <v>1.55</v>
      </c>
    </row>
    <row r="52" spans="2:21" x14ac:dyDescent="0.25">
      <c r="B52" s="28" t="s">
        <v>81</v>
      </c>
      <c r="C52" s="29"/>
      <c r="D52" s="102">
        <f t="array" ref="D52">SUM(D$31:D$37*TRANSPOSE($N52:$T52))</f>
        <v>0.42500000000000004</v>
      </c>
      <c r="E52" s="102">
        <f t="array" ref="E52">SUM(E$31:E$37*TRANSPOSE($N52:$T52))</f>
        <v>0</v>
      </c>
      <c r="F52" s="102">
        <f t="array" ref="F52">SUM(F$31:F$37*TRANSPOSE($N52:$T52))</f>
        <v>0</v>
      </c>
      <c r="G52" s="102">
        <f t="array" ref="G52">SUM(G$31:G$37*TRANSPOSE($N52:$T52))</f>
        <v>0.18700000000000003</v>
      </c>
      <c r="H52" s="102">
        <f t="array" ref="H52">SUM(H$31:H$37*TRANSPOSE($N52:$T52))</f>
        <v>0</v>
      </c>
      <c r="I52" s="102">
        <f t="array" ref="I52">SUM(I$31:I$37*TRANSPOSE($N52:$T52))</f>
        <v>0.21249999999999999</v>
      </c>
      <c r="J52" s="103">
        <f t="shared" si="6"/>
        <v>0.82450000000000012</v>
      </c>
      <c r="M52" s="28" t="s">
        <v>81</v>
      </c>
      <c r="N52" s="29"/>
      <c r="O52" s="29"/>
      <c r="P52" s="58">
        <v>0.25</v>
      </c>
      <c r="Q52" s="29"/>
      <c r="R52" s="29"/>
      <c r="S52" s="59">
        <v>0.25</v>
      </c>
      <c r="T52" s="59">
        <v>0.2</v>
      </c>
      <c r="U52" s="30">
        <f t="shared" si="7"/>
        <v>0.7</v>
      </c>
    </row>
    <row r="53" spans="2:21" x14ac:dyDescent="0.25">
      <c r="B53" s="28" t="s">
        <v>82</v>
      </c>
      <c r="C53" s="29"/>
      <c r="D53" s="102">
        <f t="array" ref="D53">SUM(D$31:D$37*TRANSPOSE($N53:$T53))</f>
        <v>8.5000000000000006E-2</v>
      </c>
      <c r="E53" s="102">
        <f t="array" ref="E53">SUM(E$31:E$37*TRANSPOSE($N53:$T53))</f>
        <v>0</v>
      </c>
      <c r="F53" s="102">
        <f t="array" ref="F53">SUM(F$31:F$37*TRANSPOSE($N53:$T53))</f>
        <v>0</v>
      </c>
      <c r="G53" s="102">
        <f t="array" ref="G53">SUM(G$31:G$37*TRANSPOSE($N53:$T53))</f>
        <v>0.90291250000000001</v>
      </c>
      <c r="H53" s="102">
        <f t="array" ref="H53">SUM(H$31:H$37*TRANSPOSE($N53:$T53))</f>
        <v>0</v>
      </c>
      <c r="I53" s="102">
        <f t="array" ref="I53">SUM(I$31:I$37*TRANSPOSE($N53:$T53))</f>
        <v>0</v>
      </c>
      <c r="J53" s="103">
        <f t="shared" si="6"/>
        <v>0.98791249999999997</v>
      </c>
      <c r="M53" s="28" t="s">
        <v>82</v>
      </c>
      <c r="N53" s="29"/>
      <c r="O53" s="29"/>
      <c r="P53" s="29"/>
      <c r="Q53" s="58">
        <v>0.9</v>
      </c>
      <c r="R53" s="58">
        <v>0.65</v>
      </c>
      <c r="S53" s="58"/>
      <c r="T53" s="59">
        <v>0.2</v>
      </c>
      <c r="U53" s="30">
        <f t="shared" si="7"/>
        <v>1.75</v>
      </c>
    </row>
    <row r="54" spans="2:21" x14ac:dyDescent="0.25">
      <c r="B54" s="28" t="s">
        <v>83</v>
      </c>
      <c r="C54" s="29"/>
      <c r="D54" s="102" cm="1">
        <f t="array" ref="D54">SUM(D$31:D$37*TRANSPOSE($N54:$T54))</f>
        <v>1.3599999999999999</v>
      </c>
      <c r="E54" s="102">
        <f t="array" ref="E54">SUM(E$31:E$37*TRANSPOSE($N54:$T54))</f>
        <v>0.61199999999999999</v>
      </c>
      <c r="F54" s="102">
        <f t="array" ref="F54">SUM(F$31:F$37*TRANSPOSE($N54:$T54))</f>
        <v>0</v>
      </c>
      <c r="G54" s="102">
        <f t="array" ref="G54">SUM(G$31:G$37*TRANSPOSE($N54:$T54))</f>
        <v>0.18700000000000003</v>
      </c>
      <c r="H54" s="102">
        <f t="array" ref="H54">SUM(H$31:H$37*TRANSPOSE($N54:$T54))</f>
        <v>0</v>
      </c>
      <c r="I54" s="102">
        <f t="array" ref="I54">SUM(I$31:I$37*TRANSPOSE($N54:$T54))</f>
        <v>0</v>
      </c>
      <c r="J54" s="103">
        <f t="shared" si="6"/>
        <v>2.1589999999999998</v>
      </c>
      <c r="M54" s="28" t="s">
        <v>83</v>
      </c>
      <c r="N54" s="58">
        <v>0.5</v>
      </c>
      <c r="O54" s="29"/>
      <c r="P54" s="29"/>
      <c r="Q54" s="29"/>
      <c r="R54" s="29"/>
      <c r="S54" s="29"/>
      <c r="T54" s="59">
        <v>0.2</v>
      </c>
      <c r="U54" s="30">
        <f t="shared" si="7"/>
        <v>0.7</v>
      </c>
    </row>
    <row r="55" spans="2:21" x14ac:dyDescent="0.25">
      <c r="B55" s="28" t="s">
        <v>84</v>
      </c>
      <c r="C55" s="29"/>
      <c r="D55" s="102">
        <f t="array" ref="D55">SUM(D$31:D$37*TRANSPOSE($N55:$T55))</f>
        <v>0</v>
      </c>
      <c r="E55" s="102">
        <f t="array" ref="E55">SUM(E$31:E$37*TRANSPOSE($N55:$T55))</f>
        <v>0</v>
      </c>
      <c r="F55" s="102">
        <f t="array" ref="F55">SUM(F$31:F$37*TRANSPOSE($N55:$T55))</f>
        <v>0</v>
      </c>
      <c r="G55" s="102">
        <f t="array" ref="G55">SUM(G$31:G$37*TRANSPOSE($N55:$T55))</f>
        <v>0</v>
      </c>
      <c r="H55" s="102">
        <f t="array" ref="H55">SUM(H$31:H$37*TRANSPOSE($N55:$T55))</f>
        <v>0</v>
      </c>
      <c r="I55" s="102">
        <f t="array" ref="I55">SUM(I$31:I$37*TRANSPOSE($N55:$T55))</f>
        <v>0</v>
      </c>
      <c r="J55" s="103">
        <f t="shared" si="6"/>
        <v>0</v>
      </c>
      <c r="M55" s="28" t="s">
        <v>84</v>
      </c>
      <c r="N55" s="29"/>
      <c r="O55" s="29"/>
      <c r="P55" s="29"/>
      <c r="Q55" s="29"/>
      <c r="R55" s="29"/>
      <c r="S55" s="29"/>
      <c r="T55" s="59"/>
      <c r="U55" s="30">
        <f t="shared" si="7"/>
        <v>0</v>
      </c>
    </row>
    <row r="56" spans="2:21" x14ac:dyDescent="0.25">
      <c r="B56" s="28" t="s">
        <v>4</v>
      </c>
      <c r="C56" s="29"/>
      <c r="D56" s="102">
        <f t="array" ref="D56">SUM(D$31:D$37*TRANSPOSE($N56:$T56))</f>
        <v>0</v>
      </c>
      <c r="E56" s="102">
        <f t="array" ref="E56">SUM(E$31:E$37*TRANSPOSE($N56:$T56))</f>
        <v>0</v>
      </c>
      <c r="F56" s="102">
        <f t="array" ref="F56">SUM(F$31:F$37*TRANSPOSE($N56:$T56))</f>
        <v>0</v>
      </c>
      <c r="G56" s="102">
        <f t="array" ref="G56">SUM(G$31:G$37*TRANSPOSE($N56:$T56))</f>
        <v>5.1000000000000004E-2</v>
      </c>
      <c r="H56" s="102">
        <f t="array" ref="H56">SUM(H$31:H$37*TRANSPOSE($N56:$T56))</f>
        <v>0</v>
      </c>
      <c r="I56" s="102">
        <f t="array" ref="I56">SUM(I$31:I$37*TRANSPOSE($N56:$T56))</f>
        <v>0</v>
      </c>
      <c r="J56" s="103">
        <f t="shared" si="6"/>
        <v>5.1000000000000004E-2</v>
      </c>
      <c r="M56" s="28" t="s">
        <v>4</v>
      </c>
      <c r="N56" s="29"/>
      <c r="O56" s="29"/>
      <c r="P56" s="29"/>
      <c r="Q56" s="58">
        <v>0.1</v>
      </c>
      <c r="R56" s="29"/>
      <c r="S56" s="29"/>
      <c r="T56" s="59"/>
      <c r="U56" s="30">
        <f t="shared" si="7"/>
        <v>0.1</v>
      </c>
    </row>
    <row r="57" spans="2:21" x14ac:dyDescent="0.25">
      <c r="B57" s="28" t="s">
        <v>85</v>
      </c>
      <c r="C57" s="29"/>
      <c r="D57" s="102">
        <f t="array" ref="D57">SUM(D$31:D$37*TRANSPOSE($N57:$T57))</f>
        <v>0</v>
      </c>
      <c r="E57" s="102">
        <f t="array" ref="E57">SUM(E$31:E$37*TRANSPOSE($N57:$T57))</f>
        <v>0</v>
      </c>
      <c r="F57" s="102">
        <f t="array" ref="F57">SUM(F$31:F$37*TRANSPOSE($N57:$T57))</f>
        <v>0</v>
      </c>
      <c r="G57" s="102">
        <f t="array" ref="G57">SUM(G$31:G$37*TRANSPOSE($N57:$T57))</f>
        <v>0</v>
      </c>
      <c r="H57" s="102">
        <f t="array" ref="H57">SUM(H$31:H$37*TRANSPOSE($N57:$T57))</f>
        <v>1.054</v>
      </c>
      <c r="I57" s="102">
        <f t="array" ref="I57">SUM(I$31:I$37*TRANSPOSE($N57:$T57))</f>
        <v>0</v>
      </c>
      <c r="J57" s="103">
        <f t="shared" si="6"/>
        <v>1.054</v>
      </c>
      <c r="M57" s="28" t="s">
        <v>85</v>
      </c>
      <c r="N57" s="29"/>
      <c r="O57" s="58">
        <v>1</v>
      </c>
      <c r="P57" s="29"/>
      <c r="Q57" s="29"/>
      <c r="R57" s="29"/>
      <c r="S57" s="29"/>
      <c r="T57" s="59"/>
      <c r="U57" s="30">
        <f t="shared" si="7"/>
        <v>1</v>
      </c>
    </row>
    <row r="58" spans="2:21" x14ac:dyDescent="0.25">
      <c r="B58" s="60" t="s">
        <v>3</v>
      </c>
      <c r="C58" s="61"/>
      <c r="D58" s="104">
        <f t="shared" ref="D58:I58" si="8">SUM(D50:D57)</f>
        <v>4.3349999999999991</v>
      </c>
      <c r="E58" s="104">
        <f t="shared" si="8"/>
        <v>1.224</v>
      </c>
      <c r="F58" s="104">
        <f t="shared" si="8"/>
        <v>0</v>
      </c>
      <c r="G58" s="104">
        <f t="shared" si="8"/>
        <v>1.8402500000000002</v>
      </c>
      <c r="H58" s="104">
        <f t="shared" si="8"/>
        <v>1.054</v>
      </c>
      <c r="I58" s="104">
        <f t="shared" si="8"/>
        <v>0.85</v>
      </c>
      <c r="J58" s="105">
        <f>SUM(J50:J57)</f>
        <v>9.3032500000000002</v>
      </c>
      <c r="M58" s="63" t="s">
        <v>3</v>
      </c>
      <c r="N58" s="64">
        <f t="shared" ref="N58:T58" si="9">SUM(N50:N57)</f>
        <v>1</v>
      </c>
      <c r="O58" s="64">
        <f t="shared" si="9"/>
        <v>1</v>
      </c>
      <c r="P58" s="64">
        <f t="shared" si="9"/>
        <v>1</v>
      </c>
      <c r="Q58" s="64">
        <f t="shared" si="9"/>
        <v>1</v>
      </c>
      <c r="R58" s="64">
        <f t="shared" si="9"/>
        <v>1</v>
      </c>
      <c r="S58" s="64">
        <f t="shared" si="9"/>
        <v>1</v>
      </c>
      <c r="T58" s="64">
        <f t="shared" si="9"/>
        <v>1</v>
      </c>
      <c r="U58" s="65"/>
    </row>
    <row r="59" spans="2:21" x14ac:dyDescent="0.25">
      <c r="B59" s="66" t="s">
        <v>86</v>
      </c>
      <c r="C59" s="67"/>
      <c r="D59" s="68">
        <f t="shared" ref="D59:I59" si="10">D58/$J$58</f>
        <v>0.46596619460941058</v>
      </c>
      <c r="E59" s="68">
        <f t="shared" si="10"/>
        <v>0.13156692553677476</v>
      </c>
      <c r="F59" s="68">
        <f t="shared" si="10"/>
        <v>0</v>
      </c>
      <c r="G59" s="68">
        <f t="shared" si="10"/>
        <v>0.19780721790772043</v>
      </c>
      <c r="H59" s="68">
        <f t="shared" si="10"/>
        <v>0.11329374143444496</v>
      </c>
      <c r="I59" s="68">
        <f t="shared" si="10"/>
        <v>9.1365920511649157E-2</v>
      </c>
      <c r="J59" s="67"/>
      <c r="K59" s="67"/>
      <c r="M59" s="50"/>
      <c r="N59" s="50"/>
      <c r="O59" s="50"/>
      <c r="P59" s="50"/>
      <c r="Q59" s="50"/>
      <c r="R59" s="50"/>
      <c r="S59" s="50"/>
    </row>
    <row r="60" spans="2:21" x14ac:dyDescent="0.25">
      <c r="B60" s="54" t="s">
        <v>87</v>
      </c>
      <c r="C60" s="67"/>
      <c r="D60" s="67"/>
      <c r="E60" s="67"/>
      <c r="F60" s="67"/>
      <c r="G60" s="67"/>
      <c r="H60" s="67"/>
      <c r="I60" s="67"/>
      <c r="J60" s="67"/>
      <c r="K60" s="67"/>
      <c r="M60" s="55" t="s">
        <v>88</v>
      </c>
      <c r="N60" s="50"/>
      <c r="O60" s="50"/>
      <c r="P60" s="50"/>
      <c r="Q60" s="50"/>
      <c r="R60" s="50"/>
      <c r="S60" s="50"/>
    </row>
    <row r="61" spans="2:21" x14ac:dyDescent="0.25">
      <c r="B61" s="54"/>
      <c r="C61" s="67"/>
      <c r="D61" s="67"/>
      <c r="E61" s="67"/>
      <c r="F61" s="67"/>
      <c r="G61" s="67"/>
      <c r="H61" s="67"/>
      <c r="I61" s="67"/>
      <c r="J61" s="67"/>
      <c r="K61" s="67"/>
      <c r="M61" s="55"/>
      <c r="N61" s="50"/>
      <c r="O61" s="50"/>
      <c r="P61" s="50"/>
      <c r="Q61" s="50"/>
      <c r="R61" s="50"/>
      <c r="S61" s="50"/>
    </row>
    <row r="62" spans="2:21" ht="18" thickBot="1" x14ac:dyDescent="0.35">
      <c r="B62" s="24" t="s">
        <v>89</v>
      </c>
      <c r="C62" s="24"/>
      <c r="K62" s="67"/>
      <c r="M62" s="55"/>
      <c r="N62" s="50"/>
      <c r="O62" s="50"/>
      <c r="P62" s="50"/>
      <c r="Q62" s="50"/>
      <c r="R62" s="50"/>
      <c r="S62" s="50"/>
    </row>
    <row r="63" spans="2:21" ht="16.5" thickTop="1" x14ac:dyDescent="0.25">
      <c r="B63" s="25" t="s">
        <v>90</v>
      </c>
      <c r="C63" s="26"/>
      <c r="D63" s="26" t="s">
        <v>7</v>
      </c>
      <c r="E63" s="26" t="s">
        <v>47</v>
      </c>
      <c r="F63" s="26" t="s">
        <v>48</v>
      </c>
      <c r="G63" s="26" t="s">
        <v>8</v>
      </c>
      <c r="H63" s="26" t="s">
        <v>49</v>
      </c>
      <c r="I63" s="26" t="s">
        <v>10</v>
      </c>
      <c r="K63" s="67"/>
      <c r="M63" s="55"/>
      <c r="N63" s="50"/>
      <c r="O63" s="50"/>
      <c r="P63" s="50"/>
      <c r="Q63" s="50"/>
      <c r="R63" s="50"/>
      <c r="S63" s="50"/>
    </row>
    <row r="64" spans="2:21" x14ac:dyDescent="0.25">
      <c r="B64" s="28" t="s">
        <v>91</v>
      </c>
      <c r="C64" s="29"/>
      <c r="D64" s="29">
        <v>1.5</v>
      </c>
      <c r="E64" s="29"/>
      <c r="F64" s="29"/>
      <c r="G64" s="29"/>
      <c r="H64" s="29"/>
      <c r="I64" s="29"/>
      <c r="K64" s="67"/>
      <c r="M64" s="55"/>
      <c r="N64" s="50"/>
      <c r="O64" s="50"/>
      <c r="P64" s="50"/>
      <c r="Q64" s="50"/>
      <c r="R64" s="50"/>
      <c r="S64" s="50"/>
    </row>
    <row r="65" spans="2:19" x14ac:dyDescent="0.25">
      <c r="B65" s="28" t="s">
        <v>92</v>
      </c>
      <c r="C65" s="29"/>
      <c r="D65" s="29"/>
      <c r="E65" s="29">
        <v>0.6</v>
      </c>
      <c r="F65" s="29">
        <v>0.6</v>
      </c>
      <c r="G65" s="29"/>
      <c r="H65" s="29"/>
      <c r="I65" s="29"/>
      <c r="K65" s="67"/>
      <c r="M65" s="55"/>
      <c r="N65" s="50"/>
      <c r="O65" s="50"/>
      <c r="P65" s="50"/>
      <c r="Q65" s="50"/>
      <c r="R65" s="50"/>
      <c r="S65" s="50"/>
    </row>
    <row r="66" spans="2:19" x14ac:dyDescent="0.25">
      <c r="B66" s="63" t="s">
        <v>11</v>
      </c>
      <c r="C66" s="64"/>
      <c r="D66" s="64">
        <v>0.84</v>
      </c>
      <c r="E66" s="64"/>
      <c r="F66" s="64"/>
      <c r="G66" s="64"/>
      <c r="H66" s="64"/>
      <c r="I66" s="64"/>
      <c r="K66" s="67"/>
      <c r="M66" s="55"/>
      <c r="N66" s="50"/>
      <c r="O66" s="50"/>
      <c r="P66" s="50"/>
      <c r="Q66" s="50"/>
      <c r="R66" s="50"/>
      <c r="S66" s="50"/>
    </row>
    <row r="67" spans="2:19" ht="16.5" thickBot="1" x14ac:dyDescent="0.3">
      <c r="B67" s="25" t="s">
        <v>93</v>
      </c>
      <c r="C67" s="26"/>
      <c r="D67" s="26" t="s">
        <v>7</v>
      </c>
      <c r="E67" s="26" t="s">
        <v>47</v>
      </c>
      <c r="F67" s="26" t="s">
        <v>48</v>
      </c>
      <c r="G67" s="26" t="s">
        <v>8</v>
      </c>
      <c r="H67" s="26" t="s">
        <v>49</v>
      </c>
      <c r="I67" s="26" t="s">
        <v>10</v>
      </c>
      <c r="K67" s="67"/>
      <c r="M67" s="55"/>
      <c r="N67" s="50"/>
      <c r="O67" s="50"/>
      <c r="P67" s="50"/>
      <c r="Q67" s="50"/>
      <c r="R67" s="50"/>
      <c r="S67" s="50"/>
    </row>
    <row r="68" spans="2:19" ht="16.5" thickTop="1" x14ac:dyDescent="0.25">
      <c r="B68" s="69" t="s">
        <v>16</v>
      </c>
      <c r="C68" s="50"/>
      <c r="D68" s="29">
        <v>11.6</v>
      </c>
      <c r="E68" s="29"/>
      <c r="F68" s="29"/>
      <c r="G68" s="29"/>
      <c r="H68" s="29"/>
      <c r="I68" s="29"/>
      <c r="K68" s="67"/>
      <c r="M68" s="55"/>
      <c r="N68" s="50"/>
      <c r="O68" s="50"/>
      <c r="P68" s="50"/>
      <c r="Q68" s="50"/>
      <c r="R68" s="50"/>
      <c r="S68" s="50"/>
    </row>
    <row r="69" spans="2:19" x14ac:dyDescent="0.25">
      <c r="B69" s="28" t="s">
        <v>94</v>
      </c>
      <c r="C69" s="29"/>
      <c r="D69" s="29"/>
      <c r="E69" s="29">
        <v>17.5</v>
      </c>
      <c r="F69" s="29"/>
      <c r="G69" s="29"/>
      <c r="H69" s="29"/>
      <c r="I69" s="29"/>
      <c r="K69" s="67"/>
      <c r="M69" s="55"/>
      <c r="N69" s="50"/>
      <c r="O69" s="50"/>
      <c r="P69" s="50"/>
      <c r="Q69" s="50"/>
      <c r="R69" s="50"/>
      <c r="S69" s="50"/>
    </row>
    <row r="70" spans="2:19" x14ac:dyDescent="0.25">
      <c r="B70" s="28" t="s">
        <v>95</v>
      </c>
      <c r="C70" s="29"/>
      <c r="D70" s="29"/>
      <c r="E70" s="29"/>
      <c r="F70" s="29">
        <v>10.4</v>
      </c>
      <c r="G70" s="29"/>
      <c r="H70" s="29"/>
      <c r="I70" s="29"/>
      <c r="K70" s="67"/>
      <c r="M70" s="55"/>
      <c r="N70" s="50"/>
      <c r="O70" s="50"/>
      <c r="P70" s="50"/>
      <c r="Q70" s="50"/>
      <c r="R70" s="50"/>
      <c r="S70" s="50"/>
    </row>
    <row r="71" spans="2:19" x14ac:dyDescent="0.25">
      <c r="B71" s="63" t="s">
        <v>96</v>
      </c>
      <c r="C71" s="64"/>
      <c r="D71" s="64"/>
      <c r="E71" s="64"/>
      <c r="F71" s="64"/>
      <c r="G71" s="64"/>
      <c r="H71" s="64">
        <v>15</v>
      </c>
      <c r="I71" s="64">
        <v>15</v>
      </c>
      <c r="K71" s="67"/>
      <c r="M71" s="55"/>
      <c r="N71" s="50"/>
      <c r="O71" s="50"/>
      <c r="P71" s="50"/>
      <c r="Q71" s="50"/>
      <c r="R71" s="50"/>
      <c r="S71" s="50"/>
    </row>
    <row r="72" spans="2:19" x14ac:dyDescent="0.25">
      <c r="B72" s="25" t="s">
        <v>97</v>
      </c>
      <c r="C72" s="26"/>
      <c r="D72" s="26" t="s">
        <v>7</v>
      </c>
      <c r="E72" s="26" t="s">
        <v>47</v>
      </c>
      <c r="F72" s="26" t="s">
        <v>48</v>
      </c>
      <c r="G72" s="26" t="s">
        <v>8</v>
      </c>
      <c r="H72" s="26" t="s">
        <v>49</v>
      </c>
      <c r="I72" s="26" t="s">
        <v>10</v>
      </c>
      <c r="K72" s="67"/>
      <c r="M72" s="55"/>
      <c r="N72" s="50"/>
      <c r="O72" s="50"/>
      <c r="P72" s="50"/>
      <c r="Q72" s="50"/>
      <c r="R72" s="50"/>
      <c r="S72" s="50"/>
    </row>
    <row r="73" spans="2:19" x14ac:dyDescent="0.25">
      <c r="B73" s="28" t="s">
        <v>24</v>
      </c>
      <c r="C73" s="29"/>
      <c r="D73" s="29">
        <v>-0.45</v>
      </c>
      <c r="E73" s="29"/>
      <c r="F73" s="29"/>
      <c r="G73" s="29"/>
      <c r="H73" s="29"/>
      <c r="I73" s="29"/>
      <c r="K73" s="67"/>
      <c r="M73" s="55"/>
      <c r="N73" s="50"/>
      <c r="O73" s="50"/>
      <c r="P73" s="50"/>
      <c r="Q73" s="50"/>
      <c r="R73" s="50"/>
      <c r="S73" s="50"/>
    </row>
    <row r="74" spans="2:19" x14ac:dyDescent="0.25">
      <c r="B74" s="28" t="s">
        <v>1</v>
      </c>
      <c r="C74" s="29"/>
      <c r="D74" s="29"/>
      <c r="E74" s="29">
        <f>G74*1.2</f>
        <v>2.88</v>
      </c>
      <c r="F74" s="29">
        <f>G74*1.2</f>
        <v>2.88</v>
      </c>
      <c r="G74" s="29">
        <v>2.4</v>
      </c>
      <c r="H74" s="29">
        <f>G74*1.2</f>
        <v>2.88</v>
      </c>
      <c r="I74" s="29">
        <f>H74*1.2</f>
        <v>3.456</v>
      </c>
      <c r="K74" s="67"/>
      <c r="M74" s="55"/>
      <c r="N74" s="50"/>
      <c r="O74" s="50"/>
      <c r="P74" s="50"/>
      <c r="Q74" s="50"/>
      <c r="R74" s="50"/>
      <c r="S74" s="50"/>
    </row>
    <row r="75" spans="2:19" x14ac:dyDescent="0.25">
      <c r="B75" s="28" t="s">
        <v>98</v>
      </c>
      <c r="C75" s="29"/>
      <c r="D75" s="29"/>
      <c r="E75" s="29"/>
      <c r="F75" s="29"/>
      <c r="G75" s="29"/>
      <c r="H75" s="29"/>
      <c r="I75" s="29"/>
      <c r="K75" s="67"/>
      <c r="M75" s="55"/>
      <c r="N75" s="50"/>
      <c r="O75" s="50"/>
      <c r="P75" s="50"/>
      <c r="Q75" s="50"/>
      <c r="R75" s="50"/>
      <c r="S75" s="50"/>
    </row>
    <row r="76" spans="2:19" x14ac:dyDescent="0.25">
      <c r="B76" s="28" t="s">
        <v>99</v>
      </c>
      <c r="C76" s="29"/>
      <c r="D76" s="29">
        <v>0.1</v>
      </c>
      <c r="E76" s="29"/>
      <c r="F76" s="29"/>
      <c r="G76" s="29"/>
      <c r="H76" s="29"/>
      <c r="I76" s="29">
        <v>0.1</v>
      </c>
      <c r="K76" s="67"/>
      <c r="M76" s="55"/>
      <c r="N76" s="50"/>
      <c r="O76" s="50"/>
      <c r="P76" s="50"/>
      <c r="Q76" s="50"/>
      <c r="R76" s="50"/>
      <c r="S76" s="50"/>
    </row>
    <row r="77" spans="2:19" x14ac:dyDescent="0.25">
      <c r="B77" s="60" t="s">
        <v>100</v>
      </c>
      <c r="C77" s="61"/>
      <c r="D77" s="61">
        <f t="shared" ref="D77:I77" si="11">SUM(D64:D76)</f>
        <v>13.59</v>
      </c>
      <c r="E77" s="61">
        <f t="shared" si="11"/>
        <v>20.98</v>
      </c>
      <c r="F77" s="61">
        <f t="shared" si="11"/>
        <v>13.879999999999999</v>
      </c>
      <c r="G77" s="61">
        <f t="shared" si="11"/>
        <v>2.4</v>
      </c>
      <c r="H77" s="61">
        <f t="shared" si="11"/>
        <v>17.88</v>
      </c>
      <c r="I77" s="61">
        <f t="shared" si="11"/>
        <v>18.556000000000001</v>
      </c>
      <c r="K77" s="67"/>
      <c r="M77" s="55"/>
      <c r="N77" s="50"/>
      <c r="O77" s="50"/>
      <c r="P77" s="50"/>
      <c r="Q77" s="50"/>
      <c r="R77" s="50"/>
      <c r="S77" s="50"/>
    </row>
    <row r="78" spans="2:19" x14ac:dyDescent="0.25">
      <c r="K78" s="67"/>
      <c r="M78" s="55"/>
      <c r="N78" s="50"/>
      <c r="O78" s="50"/>
      <c r="P78" s="50"/>
      <c r="Q78" s="50"/>
      <c r="R78" s="50"/>
      <c r="S78" s="50"/>
    </row>
    <row r="79" spans="2:19" x14ac:dyDescent="0.25">
      <c r="B79" s="25" t="s">
        <v>101</v>
      </c>
      <c r="C79" s="26"/>
      <c r="D79" s="26" t="s">
        <v>27</v>
      </c>
      <c r="E79" s="26" t="s">
        <v>102</v>
      </c>
      <c r="F79" s="26" t="s">
        <v>103</v>
      </c>
      <c r="G79" s="26" t="s">
        <v>49</v>
      </c>
      <c r="H79" s="26" t="s">
        <v>104</v>
      </c>
      <c r="I79" s="27" t="s">
        <v>3</v>
      </c>
      <c r="J79" s="67"/>
      <c r="L79" s="55"/>
      <c r="M79" s="50"/>
      <c r="N79" s="50"/>
      <c r="O79" s="50"/>
      <c r="P79" s="50"/>
      <c r="Q79" s="50"/>
      <c r="R79" s="50"/>
    </row>
    <row r="80" spans="2:19" x14ac:dyDescent="0.25">
      <c r="B80" s="28" t="s">
        <v>79</v>
      </c>
      <c r="C80" s="29"/>
      <c r="D80" s="29">
        <v>0.1</v>
      </c>
      <c r="E80" s="29">
        <v>1.8</v>
      </c>
      <c r="F80" s="29"/>
      <c r="G80" s="29"/>
      <c r="H80" s="29"/>
      <c r="I80" s="33">
        <f t="shared" ref="I80:I87" si="12">SUM(D80:H80)</f>
        <v>1.9000000000000001</v>
      </c>
      <c r="J80" s="67"/>
      <c r="L80" s="55"/>
      <c r="M80" s="50"/>
      <c r="N80" s="50"/>
      <c r="O80" s="50"/>
      <c r="P80" s="50"/>
      <c r="Q80" s="50"/>
      <c r="R80" s="50"/>
    </row>
    <row r="81" spans="2:19" x14ac:dyDescent="0.25">
      <c r="B81" s="28" t="s">
        <v>105</v>
      </c>
      <c r="C81" s="29"/>
      <c r="D81" s="29">
        <v>0.1</v>
      </c>
      <c r="E81" s="29">
        <v>1.6</v>
      </c>
      <c r="F81" s="29"/>
      <c r="G81" s="29"/>
      <c r="H81" s="29"/>
      <c r="I81" s="33">
        <f t="shared" si="12"/>
        <v>1.7000000000000002</v>
      </c>
      <c r="J81" s="67"/>
      <c r="L81" s="55"/>
      <c r="M81" s="50"/>
      <c r="N81" s="50"/>
      <c r="O81" s="50"/>
      <c r="P81" s="50"/>
      <c r="Q81" s="50"/>
      <c r="R81" s="50"/>
    </row>
    <row r="82" spans="2:19" x14ac:dyDescent="0.25">
      <c r="B82" s="28" t="s">
        <v>81</v>
      </c>
      <c r="C82" s="29"/>
      <c r="D82" s="29">
        <v>0.1</v>
      </c>
      <c r="E82" s="29">
        <v>2.1</v>
      </c>
      <c r="F82" s="29"/>
      <c r="G82" s="29"/>
      <c r="H82" s="29"/>
      <c r="I82" s="33">
        <f t="shared" si="12"/>
        <v>2.2000000000000002</v>
      </c>
      <c r="J82" s="67"/>
      <c r="L82" s="55"/>
      <c r="M82" s="50"/>
      <c r="N82" s="50"/>
      <c r="O82" s="50"/>
      <c r="P82" s="50"/>
      <c r="Q82" s="50"/>
      <c r="R82" s="50"/>
    </row>
    <row r="83" spans="2:19" x14ac:dyDescent="0.25">
      <c r="B83" s="28" t="s">
        <v>82</v>
      </c>
      <c r="C83" s="29"/>
      <c r="D83" s="29">
        <v>0.1</v>
      </c>
      <c r="E83" s="29">
        <v>1.8</v>
      </c>
      <c r="F83" s="29">
        <v>0.4</v>
      </c>
      <c r="G83" s="29"/>
      <c r="H83" s="29">
        <v>1.1000000000000001</v>
      </c>
      <c r="I83" s="33">
        <f t="shared" si="12"/>
        <v>3.4000000000000004</v>
      </c>
      <c r="J83" s="67"/>
      <c r="L83" s="55"/>
      <c r="M83" s="50"/>
      <c r="N83" s="50"/>
      <c r="O83" s="50"/>
      <c r="P83" s="50"/>
      <c r="Q83" s="50"/>
      <c r="R83" s="50"/>
    </row>
    <row r="84" spans="2:19" x14ac:dyDescent="0.25">
      <c r="B84" s="28" t="s">
        <v>83</v>
      </c>
      <c r="C84" s="29"/>
      <c r="D84" s="29">
        <v>0.1</v>
      </c>
      <c r="E84" s="29">
        <v>1.6</v>
      </c>
      <c r="F84" s="29">
        <v>0.4</v>
      </c>
      <c r="G84" s="29"/>
      <c r="H84" s="29">
        <v>1.1000000000000001</v>
      </c>
      <c r="I84" s="33">
        <f t="shared" si="12"/>
        <v>3.2</v>
      </c>
      <c r="J84" s="67"/>
      <c r="L84" s="55"/>
      <c r="M84" s="50"/>
      <c r="N84" s="50"/>
      <c r="O84" s="50"/>
      <c r="P84" s="50"/>
      <c r="Q84" s="50"/>
      <c r="R84" s="50"/>
    </row>
    <row r="85" spans="2:19" x14ac:dyDescent="0.25">
      <c r="B85" s="28" t="s">
        <v>84</v>
      </c>
      <c r="C85" s="29"/>
      <c r="D85" s="29">
        <v>0.1</v>
      </c>
      <c r="E85" s="29">
        <v>2.1</v>
      </c>
      <c r="F85" s="29">
        <v>0.4</v>
      </c>
      <c r="G85" s="29"/>
      <c r="H85" s="29">
        <v>1.1000000000000001</v>
      </c>
      <c r="I85" s="33">
        <f t="shared" si="12"/>
        <v>3.7</v>
      </c>
      <c r="J85" s="67"/>
      <c r="L85" s="55"/>
      <c r="M85" s="50"/>
      <c r="N85" s="50"/>
      <c r="O85" s="50"/>
      <c r="P85" s="50"/>
      <c r="Q85" s="50"/>
      <c r="R85" s="50"/>
    </row>
    <row r="86" spans="2:19" x14ac:dyDescent="0.25">
      <c r="B86" s="28" t="s">
        <v>4</v>
      </c>
      <c r="C86" s="29"/>
      <c r="D86" s="29"/>
      <c r="E86" s="29"/>
      <c r="F86" s="29"/>
      <c r="G86" s="29"/>
      <c r="H86" s="29"/>
      <c r="I86" s="33">
        <f t="shared" si="12"/>
        <v>0</v>
      </c>
      <c r="J86" s="67"/>
      <c r="L86" s="55"/>
      <c r="M86" s="50"/>
      <c r="N86" s="50"/>
      <c r="O86" s="50"/>
      <c r="P86" s="50"/>
      <c r="Q86" s="50"/>
      <c r="R86" s="50"/>
    </row>
    <row r="87" spans="2:19" x14ac:dyDescent="0.25">
      <c r="B87" s="63" t="s">
        <v>85</v>
      </c>
      <c r="C87" s="64"/>
      <c r="D87" s="64">
        <v>0.2</v>
      </c>
      <c r="E87" s="64"/>
      <c r="F87" s="64"/>
      <c r="G87" s="64"/>
      <c r="H87" s="64"/>
      <c r="I87" s="62">
        <f t="shared" si="12"/>
        <v>0.2</v>
      </c>
      <c r="J87" s="67"/>
      <c r="L87" s="55"/>
      <c r="M87" s="50"/>
      <c r="N87" s="50"/>
      <c r="O87" s="50"/>
      <c r="P87" s="50"/>
      <c r="Q87" s="50"/>
      <c r="R87" s="50"/>
    </row>
    <row r="88" spans="2:19" x14ac:dyDescent="0.25">
      <c r="B88" s="54" t="s">
        <v>106</v>
      </c>
      <c r="C88" s="67"/>
      <c r="D88" s="67"/>
      <c r="E88" s="67"/>
      <c r="F88" s="67"/>
      <c r="G88" s="67"/>
      <c r="H88" s="67"/>
      <c r="I88" s="67"/>
      <c r="J88" s="67"/>
      <c r="K88" s="67"/>
      <c r="M88" s="55"/>
      <c r="N88" s="50"/>
      <c r="O88" s="50"/>
      <c r="P88" s="50"/>
      <c r="Q88" s="50"/>
      <c r="R88" s="50"/>
      <c r="S88" s="50"/>
    </row>
    <row r="90" spans="2:19" x14ac:dyDescent="0.25">
      <c r="B90" s="25" t="s">
        <v>107</v>
      </c>
      <c r="C90" s="26"/>
      <c r="D90" s="26" t="s">
        <v>7</v>
      </c>
      <c r="E90" s="26" t="s">
        <v>47</v>
      </c>
      <c r="F90" s="26" t="s">
        <v>48</v>
      </c>
      <c r="G90" s="26" t="s">
        <v>8</v>
      </c>
      <c r="H90" s="26" t="s">
        <v>49</v>
      </c>
      <c r="I90" s="26" t="s">
        <v>10</v>
      </c>
    </row>
    <row r="91" spans="2:19" x14ac:dyDescent="0.25">
      <c r="B91" s="63" t="s">
        <v>108</v>
      </c>
      <c r="C91" s="64"/>
      <c r="D91" s="70" cm="1">
        <f t="array" ref="D91">SUM($I$80:$I$87*D50:D57)/D58</f>
        <v>2.3039215686274517</v>
      </c>
      <c r="E91" s="70" cm="1">
        <f t="array" ref="E91">SUM($I$80:$I$87*E50:E57)/E58</f>
        <v>2.4500000000000002</v>
      </c>
      <c r="F91" s="70" t="e">
        <f>SUM($I$80:$I$87*F50:F57)/F58</f>
        <v>#VALUE!</v>
      </c>
      <c r="G91" s="70">
        <f t="array" ref="G91">SUM($I$80:$I$87*G50:G57)/G58</f>
        <v>2.7105427251732102</v>
      </c>
      <c r="H91" s="70">
        <f t="array" ref="H91">SUM($I$80:$I$87*H50:H57)/H58</f>
        <v>0.2</v>
      </c>
      <c r="I91" s="70">
        <f t="array" ref="I91">SUM($I$80:$I$87*I50:I57)/I58</f>
        <v>1.875</v>
      </c>
    </row>
    <row r="93" spans="2:19" x14ac:dyDescent="0.25">
      <c r="B93" s="71" t="s">
        <v>109</v>
      </c>
      <c r="C93" s="26"/>
      <c r="D93" s="26" t="s">
        <v>7</v>
      </c>
      <c r="E93" s="26" t="s">
        <v>47</v>
      </c>
      <c r="F93" s="26" t="s">
        <v>48</v>
      </c>
      <c r="G93" s="26" t="s">
        <v>8</v>
      </c>
      <c r="H93" s="26" t="s">
        <v>49</v>
      </c>
      <c r="I93" s="26" t="s">
        <v>10</v>
      </c>
    </row>
    <row r="94" spans="2:19" x14ac:dyDescent="0.25">
      <c r="C94" s="72" t="str">
        <f>B106</f>
        <v>Material Preparation</v>
      </c>
      <c r="D94" s="73">
        <f t="shared" ref="D94:I94" si="13">SUM(D64:D66)</f>
        <v>2.34</v>
      </c>
      <c r="E94" s="73">
        <f>SUM(E64:E66)</f>
        <v>0.6</v>
      </c>
      <c r="F94" s="73">
        <f t="shared" si="13"/>
        <v>0.6</v>
      </c>
      <c r="G94" s="73">
        <f t="shared" si="13"/>
        <v>0</v>
      </c>
      <c r="H94" s="73">
        <f t="shared" si="13"/>
        <v>0</v>
      </c>
      <c r="I94" s="73">
        <f t="shared" si="13"/>
        <v>0</v>
      </c>
    </row>
    <row r="95" spans="2:19" x14ac:dyDescent="0.25">
      <c r="C95" s="72" t="str">
        <f>B109</f>
        <v>Iron making</v>
      </c>
      <c r="D95" s="74">
        <f t="shared" ref="D95:I95" si="14">SUM(D68:D71)</f>
        <v>11.6</v>
      </c>
      <c r="E95" s="74">
        <f t="shared" si="14"/>
        <v>17.5</v>
      </c>
      <c r="F95" s="74">
        <f t="shared" si="14"/>
        <v>10.4</v>
      </c>
      <c r="G95" s="74">
        <f t="shared" si="14"/>
        <v>0</v>
      </c>
      <c r="H95" s="74">
        <f t="shared" si="14"/>
        <v>15</v>
      </c>
      <c r="I95" s="74">
        <f t="shared" si="14"/>
        <v>15</v>
      </c>
    </row>
    <row r="96" spans="2:19" x14ac:dyDescent="0.25">
      <c r="C96" s="72" t="str">
        <f>B113</f>
        <v>Steelmaking</v>
      </c>
      <c r="D96" s="74">
        <f t="shared" ref="D96:I96" si="15">SUM(D73:D76)</f>
        <v>-0.35</v>
      </c>
      <c r="E96" s="74">
        <f t="shared" si="15"/>
        <v>2.88</v>
      </c>
      <c r="F96" s="74">
        <f t="shared" si="15"/>
        <v>2.88</v>
      </c>
      <c r="G96" s="74">
        <f t="shared" si="15"/>
        <v>2.4</v>
      </c>
      <c r="H96" s="74">
        <f t="shared" si="15"/>
        <v>2.88</v>
      </c>
      <c r="I96" s="74">
        <f t="shared" si="15"/>
        <v>3.556</v>
      </c>
    </row>
    <row r="97" spans="2:10" x14ac:dyDescent="0.25">
      <c r="C97" s="72" t="str">
        <f>B118</f>
        <v>Casting &amp; rolling</v>
      </c>
      <c r="D97" s="75">
        <f t="shared" ref="D97:I97" si="16">D91</f>
        <v>2.3039215686274517</v>
      </c>
      <c r="E97" s="75">
        <f t="shared" si="16"/>
        <v>2.4500000000000002</v>
      </c>
      <c r="F97" s="75" t="e">
        <f>F91</f>
        <v>#VALUE!</v>
      </c>
      <c r="G97" s="75">
        <f t="shared" si="16"/>
        <v>2.7105427251732102</v>
      </c>
      <c r="H97" s="75">
        <f t="shared" si="16"/>
        <v>0.2</v>
      </c>
      <c r="I97" s="75">
        <f t="shared" si="16"/>
        <v>1.875</v>
      </c>
    </row>
    <row r="103" spans="2:10" ht="18" thickBot="1" x14ac:dyDescent="0.35">
      <c r="B103" s="24" t="s">
        <v>110</v>
      </c>
      <c r="C103" s="24"/>
    </row>
    <row r="104" spans="2:10" ht="16.5" thickTop="1" x14ac:dyDescent="0.25">
      <c r="B104" s="39" t="s">
        <v>111</v>
      </c>
    </row>
    <row r="105" spans="2:10" x14ac:dyDescent="0.25">
      <c r="C105" s="26"/>
      <c r="D105" s="26" t="str">
        <f>D49</f>
        <v>BF-BOF</v>
      </c>
      <c r="E105" s="26" t="s">
        <v>47</v>
      </c>
      <c r="F105" s="26" t="s">
        <v>48</v>
      </c>
      <c r="G105" s="26" t="str">
        <f>G49</f>
        <v>Scrap-EAF</v>
      </c>
      <c r="H105" s="26" t="s">
        <v>49</v>
      </c>
      <c r="I105" s="26" t="str">
        <f>I49</f>
        <v>Other-EAF</v>
      </c>
      <c r="J105" s="27" t="s">
        <v>3</v>
      </c>
    </row>
    <row r="106" spans="2:10" x14ac:dyDescent="0.25">
      <c r="B106" s="25" t="s">
        <v>90</v>
      </c>
      <c r="C106" s="28" t="s">
        <v>91</v>
      </c>
      <c r="D106" s="57">
        <f t="shared" ref="D106:E108" si="17">D64*D$39/100*$N$38</f>
        <v>6.7923892188213797</v>
      </c>
      <c r="E106" s="57">
        <f t="shared" si="17"/>
        <v>0</v>
      </c>
      <c r="F106" s="57"/>
      <c r="G106" s="57">
        <f t="shared" ref="G106:I108" si="18">G64*G$39/100*$N$38</f>
        <v>0</v>
      </c>
      <c r="H106" s="57">
        <f t="shared" si="18"/>
        <v>0</v>
      </c>
      <c r="I106" s="57">
        <f t="shared" si="18"/>
        <v>0</v>
      </c>
      <c r="J106" s="41">
        <f t="shared" ref="J106:J126" si="19">SUM(D106:I106)</f>
        <v>6.7923892188213797</v>
      </c>
    </row>
    <row r="107" spans="2:10" x14ac:dyDescent="0.25">
      <c r="C107" s="28" t="s">
        <v>92</v>
      </c>
      <c r="D107" s="57">
        <f t="shared" si="17"/>
        <v>0</v>
      </c>
      <c r="E107" s="57">
        <f t="shared" si="17"/>
        <v>0.7671404294198263</v>
      </c>
      <c r="F107" s="57"/>
      <c r="G107" s="57">
        <f t="shared" si="18"/>
        <v>0</v>
      </c>
      <c r="H107" s="57">
        <f t="shared" si="18"/>
        <v>0</v>
      </c>
      <c r="I107" s="57">
        <f t="shared" si="18"/>
        <v>0</v>
      </c>
      <c r="J107" s="41">
        <f t="shared" si="19"/>
        <v>0.7671404294198263</v>
      </c>
    </row>
    <row r="108" spans="2:10" ht="16.5" thickBot="1" x14ac:dyDescent="0.3">
      <c r="C108" s="63" t="s">
        <v>11</v>
      </c>
      <c r="D108" s="57">
        <f t="shared" si="17"/>
        <v>3.803737962539973</v>
      </c>
      <c r="E108" s="57">
        <f t="shared" si="17"/>
        <v>0</v>
      </c>
      <c r="F108" s="57"/>
      <c r="G108" s="57">
        <f t="shared" si="18"/>
        <v>0</v>
      </c>
      <c r="H108" s="57">
        <f t="shared" si="18"/>
        <v>0</v>
      </c>
      <c r="I108" s="57">
        <f t="shared" si="18"/>
        <v>0</v>
      </c>
      <c r="J108" s="41">
        <f t="shared" si="19"/>
        <v>3.803737962539973</v>
      </c>
    </row>
    <row r="109" spans="2:10" ht="16.5" thickTop="1" x14ac:dyDescent="0.25">
      <c r="B109" s="25" t="s">
        <v>93</v>
      </c>
      <c r="C109" s="69" t="s">
        <v>16</v>
      </c>
      <c r="D109" s="57">
        <f>D68*D$39/100*$N$38</f>
        <v>52.527809958885335</v>
      </c>
      <c r="E109" s="57">
        <f>E68*E$39/100*$N$38</f>
        <v>0</v>
      </c>
      <c r="F109" s="57"/>
      <c r="G109" s="57">
        <f t="shared" ref="G109:I110" si="20">G68*G$39/100*$N$38</f>
        <v>0</v>
      </c>
      <c r="H109" s="57">
        <f t="shared" si="20"/>
        <v>0</v>
      </c>
      <c r="I109" s="57">
        <f t="shared" si="20"/>
        <v>0</v>
      </c>
      <c r="J109" s="41">
        <f t="shared" si="19"/>
        <v>52.527809958885335</v>
      </c>
    </row>
    <row r="110" spans="2:10" x14ac:dyDescent="0.25">
      <c r="C110" s="28" t="s">
        <v>94</v>
      </c>
      <c r="D110" s="57">
        <f>D69*D$39/100*$N$38</f>
        <v>0</v>
      </c>
      <c r="E110" s="57">
        <f>E69*E$39/100*$N$38</f>
        <v>22.374929191411599</v>
      </c>
      <c r="F110" s="57"/>
      <c r="G110" s="57">
        <f t="shared" si="20"/>
        <v>0</v>
      </c>
      <c r="H110" s="57">
        <f t="shared" si="20"/>
        <v>0</v>
      </c>
      <c r="I110" s="57">
        <f t="shared" si="20"/>
        <v>0</v>
      </c>
      <c r="J110" s="41">
        <f t="shared" si="19"/>
        <v>22.374929191411599</v>
      </c>
    </row>
    <row r="111" spans="2:10" x14ac:dyDescent="0.25">
      <c r="C111" s="28" t="s">
        <v>95</v>
      </c>
      <c r="D111" s="57"/>
      <c r="E111" s="57"/>
      <c r="F111" s="57"/>
      <c r="G111" s="57"/>
      <c r="H111" s="57"/>
      <c r="I111" s="57"/>
      <c r="J111" s="41"/>
    </row>
    <row r="112" spans="2:10" x14ac:dyDescent="0.25">
      <c r="C112" s="63" t="s">
        <v>96</v>
      </c>
      <c r="D112" s="57">
        <f>D71*D$39/100*$N$38</f>
        <v>0</v>
      </c>
      <c r="E112" s="57">
        <f>E71*E$39/100*$N$38</f>
        <v>0</v>
      </c>
      <c r="F112" s="57"/>
      <c r="G112" s="57">
        <f>G71*G$39/100*$N$38</f>
        <v>0</v>
      </c>
      <c r="H112" s="57">
        <f>H71*H$39/100*$N$38</f>
        <v>16.514828688899044</v>
      </c>
      <c r="I112" s="57">
        <f>I71*I$39/100*$N$38</f>
        <v>13.318410232983098</v>
      </c>
      <c r="J112" s="41">
        <f t="shared" si="19"/>
        <v>29.833238921882142</v>
      </c>
    </row>
    <row r="113" spans="2:12" x14ac:dyDescent="0.25">
      <c r="B113" s="25" t="s">
        <v>97</v>
      </c>
      <c r="C113" s="28" t="s">
        <v>24</v>
      </c>
      <c r="D113" s="57">
        <f t="shared" ref="D113:E116" si="21">D73*D$39/100*$N$38</f>
        <v>-2.0377167656464144</v>
      </c>
      <c r="E113" s="57">
        <f t="shared" si="21"/>
        <v>0</v>
      </c>
      <c r="F113" s="57"/>
      <c r="G113" s="57">
        <f t="shared" ref="G113:I116" si="22">G73*G$39/100*$N$38</f>
        <v>0</v>
      </c>
      <c r="H113" s="57">
        <f t="shared" si="22"/>
        <v>0</v>
      </c>
      <c r="I113" s="57">
        <f t="shared" si="22"/>
        <v>0</v>
      </c>
      <c r="J113" s="41">
        <f t="shared" si="19"/>
        <v>-2.0377167656464144</v>
      </c>
    </row>
    <row r="114" spans="2:12" x14ac:dyDescent="0.25">
      <c r="C114" s="28" t="s">
        <v>1</v>
      </c>
      <c r="D114" s="57">
        <f t="shared" si="21"/>
        <v>0</v>
      </c>
      <c r="E114" s="57">
        <f t="shared" si="21"/>
        <v>3.6822740612151668</v>
      </c>
      <c r="F114" s="57"/>
      <c r="G114" s="57">
        <f t="shared" si="22"/>
        <v>4.6134973047053451</v>
      </c>
      <c r="H114" s="57">
        <f t="shared" si="22"/>
        <v>3.1708471082686152</v>
      </c>
      <c r="I114" s="57">
        <f t="shared" si="22"/>
        <v>3.0685617176793056</v>
      </c>
      <c r="J114" s="41">
        <f t="shared" si="19"/>
        <v>14.535180191868433</v>
      </c>
    </row>
    <row r="115" spans="2:12" x14ac:dyDescent="0.25">
      <c r="C115" s="28" t="s">
        <v>98</v>
      </c>
      <c r="D115" s="57">
        <f t="shared" si="21"/>
        <v>0</v>
      </c>
      <c r="E115" s="57">
        <f t="shared" si="21"/>
        <v>0</v>
      </c>
      <c r="F115" s="57"/>
      <c r="G115" s="57">
        <f t="shared" si="22"/>
        <v>0</v>
      </c>
      <c r="H115" s="57">
        <f t="shared" si="22"/>
        <v>0</v>
      </c>
      <c r="I115" s="57">
        <f t="shared" si="22"/>
        <v>0</v>
      </c>
      <c r="J115" s="41">
        <f t="shared" si="19"/>
        <v>0</v>
      </c>
    </row>
    <row r="116" spans="2:12" x14ac:dyDescent="0.25">
      <c r="C116" s="28" t="s">
        <v>99</v>
      </c>
      <c r="D116" s="57">
        <f t="shared" si="21"/>
        <v>0.45282594792142533</v>
      </c>
      <c r="E116" s="57">
        <f t="shared" si="21"/>
        <v>0</v>
      </c>
      <c r="F116" s="57"/>
      <c r="G116" s="57">
        <f t="shared" si="22"/>
        <v>0</v>
      </c>
      <c r="H116" s="57">
        <f>H76*H$39/100*$N$38</f>
        <v>0</v>
      </c>
      <c r="I116" s="57">
        <f t="shared" si="22"/>
        <v>8.8789401553220654E-2</v>
      </c>
      <c r="J116" s="41">
        <f t="shared" si="19"/>
        <v>0.54161534947464596</v>
      </c>
    </row>
    <row r="117" spans="2:12" x14ac:dyDescent="0.25">
      <c r="C117" s="60" t="s">
        <v>112</v>
      </c>
      <c r="D117" s="76">
        <f>SUM(D106:D116)</f>
        <v>61.539046322521699</v>
      </c>
      <c r="E117" s="76">
        <f>SUM(E106:E116)</f>
        <v>26.824343682046592</v>
      </c>
      <c r="F117" s="76"/>
      <c r="G117" s="76">
        <f>SUM(G106:G116)</f>
        <v>4.6134973047053451</v>
      </c>
      <c r="H117" s="76">
        <f>SUM(H106:H116)</f>
        <v>19.685675797167658</v>
      </c>
      <c r="I117" s="76">
        <f>SUM(I106:I116)</f>
        <v>16.475761352215624</v>
      </c>
      <c r="J117" s="77">
        <f t="shared" si="19"/>
        <v>129.13832445865691</v>
      </c>
    </row>
    <row r="118" spans="2:12" x14ac:dyDescent="0.25">
      <c r="B118" s="25" t="s">
        <v>113</v>
      </c>
      <c r="C118" s="28" t="s">
        <v>79</v>
      </c>
      <c r="D118" s="57">
        <f t="shared" ref="D118:E125" si="23">D50*$I80</f>
        <v>2.0994999999999999</v>
      </c>
      <c r="E118" s="57">
        <f t="shared" si="23"/>
        <v>0</v>
      </c>
      <c r="F118" s="57"/>
      <c r="G118" s="57">
        <f t="shared" ref="G118:I125" si="24">G50*$I80</f>
        <v>0.35530000000000006</v>
      </c>
      <c r="H118" s="57">
        <f t="shared" si="24"/>
        <v>0</v>
      </c>
      <c r="I118" s="57">
        <f t="shared" si="24"/>
        <v>0.40375</v>
      </c>
      <c r="J118" s="41">
        <f t="shared" si="19"/>
        <v>2.8585500000000001</v>
      </c>
      <c r="L118" s="78"/>
    </row>
    <row r="119" spans="2:12" x14ac:dyDescent="0.25">
      <c r="C119" s="28" t="s">
        <v>80</v>
      </c>
      <c r="D119" s="57">
        <f t="shared" si="23"/>
        <v>2.3119999999999998</v>
      </c>
      <c r="E119" s="57">
        <f t="shared" si="23"/>
        <v>1.0404</v>
      </c>
      <c r="F119" s="57"/>
      <c r="G119" s="57">
        <f t="shared" si="24"/>
        <v>0.55307375000000003</v>
      </c>
      <c r="H119" s="57">
        <f t="shared" si="24"/>
        <v>0</v>
      </c>
      <c r="I119" s="57">
        <f t="shared" si="24"/>
        <v>0.72250000000000003</v>
      </c>
      <c r="J119" s="41">
        <f t="shared" si="19"/>
        <v>4.6279737499999998</v>
      </c>
      <c r="L119" s="78"/>
    </row>
    <row r="120" spans="2:12" x14ac:dyDescent="0.25">
      <c r="C120" s="28" t="s">
        <v>81</v>
      </c>
      <c r="D120" s="57">
        <f t="shared" si="23"/>
        <v>0.93500000000000016</v>
      </c>
      <c r="E120" s="57">
        <f t="shared" si="23"/>
        <v>0</v>
      </c>
      <c r="F120" s="57"/>
      <c r="G120" s="57">
        <f t="shared" si="24"/>
        <v>0.4114000000000001</v>
      </c>
      <c r="H120" s="57">
        <f t="shared" si="24"/>
        <v>0</v>
      </c>
      <c r="I120" s="57">
        <f t="shared" si="24"/>
        <v>0.46750000000000003</v>
      </c>
      <c r="J120" s="41">
        <f t="shared" si="19"/>
        <v>1.8139000000000003</v>
      </c>
      <c r="L120" s="78"/>
    </row>
    <row r="121" spans="2:12" x14ac:dyDescent="0.25">
      <c r="C121" s="28" t="s">
        <v>82</v>
      </c>
      <c r="D121" s="57">
        <f>D53*$I83</f>
        <v>0.28900000000000003</v>
      </c>
      <c r="E121" s="57">
        <f t="shared" si="23"/>
        <v>0</v>
      </c>
      <c r="F121" s="57"/>
      <c r="G121" s="57">
        <f>G53*$I83</f>
        <v>3.0699025000000004</v>
      </c>
      <c r="H121" s="57">
        <f t="shared" si="24"/>
        <v>0</v>
      </c>
      <c r="I121" s="57">
        <f t="shared" si="24"/>
        <v>0</v>
      </c>
      <c r="J121" s="41">
        <f t="shared" si="19"/>
        <v>3.3589025000000006</v>
      </c>
      <c r="L121" s="78"/>
    </row>
    <row r="122" spans="2:12" x14ac:dyDescent="0.25">
      <c r="C122" s="28" t="s">
        <v>83</v>
      </c>
      <c r="D122" s="57">
        <f t="shared" si="23"/>
        <v>4.3519999999999994</v>
      </c>
      <c r="E122" s="57">
        <f t="shared" si="23"/>
        <v>1.9584000000000001</v>
      </c>
      <c r="F122" s="57"/>
      <c r="G122" s="57">
        <f t="shared" si="24"/>
        <v>0.59840000000000015</v>
      </c>
      <c r="H122" s="57">
        <f t="shared" si="24"/>
        <v>0</v>
      </c>
      <c r="I122" s="57">
        <f t="shared" si="24"/>
        <v>0</v>
      </c>
      <c r="J122" s="41">
        <f t="shared" si="19"/>
        <v>6.9087999999999994</v>
      </c>
      <c r="L122" s="78"/>
    </row>
    <row r="123" spans="2:12" x14ac:dyDescent="0.25">
      <c r="C123" s="28" t="s">
        <v>84</v>
      </c>
      <c r="D123" s="57">
        <f t="shared" si="23"/>
        <v>0</v>
      </c>
      <c r="E123" s="57">
        <f t="shared" si="23"/>
        <v>0</v>
      </c>
      <c r="F123" s="57"/>
      <c r="G123" s="57">
        <f t="shared" si="24"/>
        <v>0</v>
      </c>
      <c r="H123" s="57">
        <f t="shared" si="24"/>
        <v>0</v>
      </c>
      <c r="I123" s="57">
        <f t="shared" si="24"/>
        <v>0</v>
      </c>
      <c r="J123" s="41">
        <f t="shared" si="19"/>
        <v>0</v>
      </c>
      <c r="L123" s="78"/>
    </row>
    <row r="124" spans="2:12" x14ac:dyDescent="0.25">
      <c r="C124" s="28" t="s">
        <v>4</v>
      </c>
      <c r="D124" s="57">
        <f t="shared" si="23"/>
        <v>0</v>
      </c>
      <c r="E124" s="57">
        <f t="shared" si="23"/>
        <v>0</v>
      </c>
      <c r="F124" s="57"/>
      <c r="G124" s="57">
        <f t="shared" si="24"/>
        <v>0</v>
      </c>
      <c r="H124" s="57">
        <f t="shared" si="24"/>
        <v>0</v>
      </c>
      <c r="I124" s="57">
        <f t="shared" si="24"/>
        <v>0</v>
      </c>
      <c r="J124" s="41">
        <f t="shared" si="19"/>
        <v>0</v>
      </c>
      <c r="L124" s="78"/>
    </row>
    <row r="125" spans="2:12" x14ac:dyDescent="0.25">
      <c r="C125" s="28" t="s">
        <v>85</v>
      </c>
      <c r="D125" s="57">
        <f t="shared" si="23"/>
        <v>0</v>
      </c>
      <c r="E125" s="57">
        <f t="shared" si="23"/>
        <v>0</v>
      </c>
      <c r="F125" s="57"/>
      <c r="G125" s="57">
        <f t="shared" si="24"/>
        <v>0</v>
      </c>
      <c r="H125" s="57">
        <f t="shared" si="24"/>
        <v>0.21080000000000002</v>
      </c>
      <c r="I125" s="57">
        <f t="shared" si="24"/>
        <v>0</v>
      </c>
      <c r="J125" s="41">
        <f t="shared" si="19"/>
        <v>0.21080000000000002</v>
      </c>
      <c r="L125" s="78"/>
    </row>
    <row r="126" spans="2:12" x14ac:dyDescent="0.25">
      <c r="B126" s="79" t="s">
        <v>114</v>
      </c>
      <c r="C126" s="80"/>
      <c r="D126" s="81">
        <f>SUM(D117:D125)</f>
        <v>71.52654632252171</v>
      </c>
      <c r="E126" s="81">
        <f>SUM(E117:E125)</f>
        <v>29.823143682046595</v>
      </c>
      <c r="F126" s="81"/>
      <c r="G126" s="81">
        <f>SUM(G117:G125)</f>
        <v>9.6015735547053449</v>
      </c>
      <c r="H126" s="81">
        <f>SUM(H117:H125)</f>
        <v>19.896475797167657</v>
      </c>
      <c r="I126" s="81">
        <f>SUM(I117:I125)</f>
        <v>18.069511352215624</v>
      </c>
      <c r="J126" s="82">
        <f t="shared" si="19"/>
        <v>148.91725070865692</v>
      </c>
      <c r="L126" s="78"/>
    </row>
    <row r="127" spans="2:12" x14ac:dyDescent="0.25">
      <c r="B127" s="79" t="s">
        <v>115</v>
      </c>
      <c r="C127" s="80"/>
      <c r="D127" s="81">
        <f>D126/D39*$N$38</f>
        <v>14.917283382433336</v>
      </c>
      <c r="E127" s="81">
        <f>E126/E39*$N$38</f>
        <v>22.028432230950003</v>
      </c>
      <c r="F127" s="81"/>
      <c r="G127" s="81">
        <f>G126/G39*$N$38</f>
        <v>4.7171227011622969</v>
      </c>
      <c r="H127" s="81">
        <f>H126/H39*$N$38</f>
        <v>17.066604858200002</v>
      </c>
      <c r="I127" s="81">
        <f>I126/I39*$N$38</f>
        <v>19.219366514064998</v>
      </c>
      <c r="J127" s="81">
        <f>J126/J39*$N$38</f>
        <v>14.47177842386728</v>
      </c>
      <c r="L127" s="39"/>
    </row>
    <row r="128" spans="2:12" x14ac:dyDescent="0.25">
      <c r="B128" s="83" t="s">
        <v>116</v>
      </c>
      <c r="C128" s="84"/>
      <c r="D128" s="85"/>
      <c r="E128" s="85"/>
      <c r="F128" s="85"/>
      <c r="G128" s="85"/>
      <c r="H128" s="85"/>
      <c r="I128" s="85"/>
      <c r="J128" s="86">
        <v>277</v>
      </c>
    </row>
    <row r="129" spans="2:12" x14ac:dyDescent="0.25">
      <c r="B129" s="83" t="s">
        <v>117</v>
      </c>
      <c r="C129" s="84"/>
      <c r="D129" s="85"/>
      <c r="E129" s="85"/>
      <c r="F129" s="85"/>
      <c r="G129" s="85"/>
      <c r="H129" s="85"/>
      <c r="I129" s="85"/>
      <c r="J129" s="86">
        <v>1.7</v>
      </c>
    </row>
    <row r="130" spans="2:12" x14ac:dyDescent="0.25">
      <c r="B130" s="83" t="s">
        <v>118</v>
      </c>
      <c r="C130" s="84"/>
      <c r="D130" s="87">
        <f>D127*$J$129</f>
        <v>25.35938175013667</v>
      </c>
      <c r="E130" s="87">
        <f>E127*$J$129</f>
        <v>37.448334792615</v>
      </c>
      <c r="F130" s="87"/>
      <c r="G130" s="87">
        <v>10</v>
      </c>
      <c r="H130" s="87">
        <v>27</v>
      </c>
      <c r="I130" s="87">
        <v>45.8</v>
      </c>
      <c r="J130" s="88">
        <f>J127*$J$129</f>
        <v>24.602023320574375</v>
      </c>
      <c r="L130" s="39"/>
    </row>
    <row r="131" spans="2:12" x14ac:dyDescent="0.25">
      <c r="B131" s="83"/>
      <c r="C131" s="84"/>
      <c r="D131" s="87">
        <f t="shared" ref="D131:I131" si="25">D130*D38</f>
        <v>109.93291988684247</v>
      </c>
      <c r="E131" s="87">
        <f t="shared" si="25"/>
        <v>45.836761786160757</v>
      </c>
      <c r="F131" s="87">
        <f t="shared" si="25"/>
        <v>0</v>
      </c>
      <c r="G131" s="87">
        <f t="shared" si="25"/>
        <v>18.402500000000003</v>
      </c>
      <c r="H131" s="87">
        <f t="shared" si="25"/>
        <v>28.458000000000002</v>
      </c>
      <c r="I131" s="87">
        <f t="shared" si="25"/>
        <v>38.93</v>
      </c>
      <c r="J131" s="88">
        <f>SUM(D131:I131)</f>
        <v>241.56018167300323</v>
      </c>
      <c r="L131" s="39"/>
    </row>
    <row r="132" spans="2:12" x14ac:dyDescent="0.25">
      <c r="B132" s="89" t="s">
        <v>119</v>
      </c>
      <c r="C132" s="35"/>
      <c r="D132" s="37">
        <f>D126/$J$126*100</f>
        <v>48.031068249075389</v>
      </c>
      <c r="E132" s="37">
        <f>E126/$J$126*100</f>
        <v>20.026654763048821</v>
      </c>
      <c r="F132" s="37"/>
      <c r="G132" s="37">
        <f>G126/$J$126*100</f>
        <v>6.4475898588068556</v>
      </c>
      <c r="H132" s="37">
        <f>H126/$J$126*100</f>
        <v>13.360759551016224</v>
      </c>
      <c r="I132" s="37">
        <f>I126/$J$126*100</f>
        <v>12.133927578052715</v>
      </c>
      <c r="J132" s="38">
        <f>J126/$J$126*100</f>
        <v>100</v>
      </c>
    </row>
    <row r="133" spans="2:12" x14ac:dyDescent="0.25">
      <c r="B133" s="39" t="s">
        <v>120</v>
      </c>
    </row>
    <row r="135" spans="2:12" ht="18" thickBot="1" x14ac:dyDescent="0.35">
      <c r="B135" s="24" t="s">
        <v>121</v>
      </c>
    </row>
    <row r="136" spans="2:12" ht="16.5" thickTop="1" x14ac:dyDescent="0.25">
      <c r="C136" s="26"/>
      <c r="D136" s="26" t="str">
        <f>D105</f>
        <v>BF-BOF</v>
      </c>
      <c r="E136" s="26" t="str">
        <f>E105</f>
        <v>DRI-EAF (coal)</v>
      </c>
      <c r="F136" s="26"/>
      <c r="G136" s="26" t="str">
        <f>G105</f>
        <v>Scrap-EAF</v>
      </c>
      <c r="H136" s="26"/>
      <c r="I136" s="26" t="str">
        <f>I105</f>
        <v>Other-EAF</v>
      </c>
      <c r="J136" s="26" t="str">
        <f>J105</f>
        <v>Total</v>
      </c>
      <c r="K136" s="90" t="s">
        <v>48</v>
      </c>
    </row>
    <row r="137" spans="2:12" x14ac:dyDescent="0.25">
      <c r="B137" s="91" t="s">
        <v>122</v>
      </c>
      <c r="C137" s="74"/>
      <c r="D137" s="74"/>
      <c r="E137" s="74"/>
      <c r="F137" s="74"/>
      <c r="G137" s="74"/>
      <c r="H137" s="74"/>
      <c r="I137" s="74"/>
      <c r="J137" s="92">
        <v>1.1000000000000001</v>
      </c>
      <c r="K137" s="93"/>
    </row>
    <row r="138" spans="2:12" x14ac:dyDescent="0.25">
      <c r="B138" s="91" t="s">
        <v>123</v>
      </c>
      <c r="C138" s="74"/>
      <c r="D138" s="75">
        <f>D127*$J$137</f>
        <v>16.40901172067667</v>
      </c>
      <c r="E138" s="75">
        <f>E127*$J$137</f>
        <v>24.231275454045004</v>
      </c>
      <c r="F138" s="75"/>
      <c r="G138" s="75">
        <f>G127*$J$137</f>
        <v>5.1888349712785269</v>
      </c>
      <c r="H138" s="75">
        <f>H127*$J$137</f>
        <v>18.773265344020004</v>
      </c>
      <c r="I138" s="75">
        <f>I127*$J$137</f>
        <v>21.141303165471498</v>
      </c>
      <c r="J138" s="75">
        <f>J127*$J$137</f>
        <v>15.918956266254009</v>
      </c>
      <c r="K138" s="93">
        <v>14.56</v>
      </c>
    </row>
    <row r="141" spans="2:12" ht="18" thickBot="1" x14ac:dyDescent="0.35">
      <c r="B141" s="24" t="s">
        <v>124</v>
      </c>
    </row>
    <row r="142" spans="2:12" ht="16.5" thickTop="1" x14ac:dyDescent="0.25"/>
    <row r="144" spans="2:12" x14ac:dyDescent="0.25">
      <c r="C144" s="91" t="s">
        <v>125</v>
      </c>
      <c r="D144" s="94" t="str">
        <f>D30</f>
        <v>BF-BOF</v>
      </c>
      <c r="E144" s="94" t="str">
        <f>E30</f>
        <v>DRI-EAF (coal)</v>
      </c>
      <c r="F144" s="94"/>
      <c r="G144" s="94" t="str">
        <f>G30</f>
        <v>Scrap-EAF</v>
      </c>
      <c r="H144" s="94"/>
      <c r="I144" s="94" t="str">
        <f>I30</f>
        <v>Other-EAF</v>
      </c>
      <c r="J144" s="95" t="s">
        <v>126</v>
      </c>
    </row>
    <row r="145" spans="2:16" x14ac:dyDescent="0.25">
      <c r="C145" s="72" t="s">
        <v>127</v>
      </c>
      <c r="D145" s="75">
        <f>D39</f>
        <v>46.596619460941071</v>
      </c>
      <c r="E145" s="75">
        <f>E39</f>
        <v>13.156692553677477</v>
      </c>
      <c r="F145" s="75"/>
      <c r="G145" s="75">
        <f>G39</f>
        <v>19.780721790772045</v>
      </c>
      <c r="H145" s="75">
        <f>H39</f>
        <v>11.329374143444495</v>
      </c>
      <c r="I145" s="75">
        <f>I39</f>
        <v>9.1365920511649161</v>
      </c>
      <c r="J145" s="96">
        <f>SUM(D145:I145)</f>
        <v>100</v>
      </c>
      <c r="M145" s="39" t="s">
        <v>128</v>
      </c>
    </row>
    <row r="146" spans="2:16" ht="16.5" thickBot="1" x14ac:dyDescent="0.3">
      <c r="C146" s="72" t="s">
        <v>13</v>
      </c>
      <c r="D146" s="340">
        <v>0.17075404762210467</v>
      </c>
      <c r="E146" s="340">
        <v>0.55000000000000004</v>
      </c>
      <c r="F146" s="340"/>
      <c r="G146" s="340">
        <v>0</v>
      </c>
      <c r="H146" s="340">
        <v>0.44</v>
      </c>
      <c r="I146" s="340">
        <v>0.45</v>
      </c>
      <c r="J146" s="341">
        <f t="array" ref="J146">SUMPRODUCT(D146:I146,$D$145:$I$145)/100</f>
        <v>0.24289133329125023</v>
      </c>
      <c r="K146" s="97">
        <v>37</v>
      </c>
      <c r="N146" s="71" t="s">
        <v>129</v>
      </c>
      <c r="O146" s="95" t="s">
        <v>130</v>
      </c>
      <c r="P146" s="23" t="s">
        <v>131</v>
      </c>
    </row>
    <row r="147" spans="2:16" ht="17.25" thickTop="1" thickBot="1" x14ac:dyDescent="0.3">
      <c r="C147" s="72" t="s">
        <v>11</v>
      </c>
      <c r="D147" s="340">
        <v>0.35</v>
      </c>
      <c r="E147" s="340">
        <v>0</v>
      </c>
      <c r="F147" s="340"/>
      <c r="G147" s="340">
        <v>0</v>
      </c>
      <c r="H147" s="340">
        <v>0.17</v>
      </c>
      <c r="I147" s="340">
        <v>0</v>
      </c>
      <c r="J147" s="341">
        <f t="array" ref="J147">SUMPRODUCT(D147:I147,$D$145:$I$145)/100</f>
        <v>0.18234810415714939</v>
      </c>
      <c r="K147" s="97">
        <v>0.19</v>
      </c>
      <c r="M147" s="72" t="s">
        <v>132</v>
      </c>
      <c r="N147" s="47">
        <f>J146+J147</f>
        <v>0.42523943744839965</v>
      </c>
      <c r="O147" s="47">
        <f>[8]Production!AO115</f>
        <v>0.64986199642396447</v>
      </c>
    </row>
    <row r="148" spans="2:16" ht="17.25" thickTop="1" thickBot="1" x14ac:dyDescent="0.3">
      <c r="C148" s="72" t="s">
        <v>14</v>
      </c>
      <c r="D148" s="340">
        <v>0.23</v>
      </c>
      <c r="E148" s="340">
        <v>0.38</v>
      </c>
      <c r="F148" s="340">
        <f>E148</f>
        <v>0.38</v>
      </c>
      <c r="G148" s="340">
        <v>0.75</v>
      </c>
      <c r="H148" s="340">
        <v>0.33300000000000002</v>
      </c>
      <c r="I148" s="340">
        <v>0.45</v>
      </c>
      <c r="J148" s="341">
        <f t="array" ref="J148">SUMPRODUCT(D148:I148,$D$145:$I$145)/100</f>
        <v>0.38436455002284148</v>
      </c>
      <c r="K148" s="97">
        <v>0.27</v>
      </c>
      <c r="M148" s="72" t="s">
        <v>14</v>
      </c>
      <c r="N148" s="47">
        <f>J148</f>
        <v>0.38436455002284148</v>
      </c>
      <c r="O148" s="47">
        <f>[8]Production!AO116</f>
        <v>0.27226341264137216</v>
      </c>
    </row>
    <row r="149" spans="2:16" ht="17.25" thickTop="1" thickBot="1" x14ac:dyDescent="0.3">
      <c r="C149" s="72" t="s">
        <v>133</v>
      </c>
      <c r="D149" s="340">
        <v>0.245</v>
      </c>
      <c r="E149" s="340">
        <v>5.9763203629889787E-2</v>
      </c>
      <c r="F149" s="340">
        <f>E149+E146</f>
        <v>0.60976320362988978</v>
      </c>
      <c r="G149" s="340">
        <v>0.25</v>
      </c>
      <c r="H149" s="340">
        <v>5.7000000000000002E-2</v>
      </c>
      <c r="I149" s="340">
        <v>7.4999999999999997E-2</v>
      </c>
      <c r="J149" s="341">
        <f t="array" ref="J149">SUMPRODUCT(D149:I149,$D$145:$I$145)/100</f>
        <v>0.18478657041818561</v>
      </c>
      <c r="M149" s="72" t="s">
        <v>133</v>
      </c>
      <c r="N149" s="47">
        <f>J149</f>
        <v>0.18478657041818561</v>
      </c>
      <c r="O149" s="47">
        <f>[8]Production!AO117</f>
        <v>7.7874590934663299E-2</v>
      </c>
    </row>
    <row r="150" spans="2:16" ht="17.25" thickTop="1" thickBot="1" x14ac:dyDescent="0.3">
      <c r="C150" s="72" t="s">
        <v>134</v>
      </c>
      <c r="D150" s="340">
        <v>5.0000000000000001E-3</v>
      </c>
      <c r="E150" s="340">
        <v>0.01</v>
      </c>
      <c r="F150" s="340">
        <f>E150</f>
        <v>0.01</v>
      </c>
      <c r="G150" s="340">
        <v>0</v>
      </c>
      <c r="H150" s="340"/>
      <c r="I150" s="340">
        <v>2.5000000000000001E-2</v>
      </c>
      <c r="J150" s="341">
        <f t="array" ref="J150">SUMPRODUCT(D150:I150,$D$145:$I$145)/100</f>
        <v>5.92964824120603E-3</v>
      </c>
      <c r="M150" s="72" t="s">
        <v>134</v>
      </c>
      <c r="N150" s="47">
        <f>J150</f>
        <v>5.92964824120603E-3</v>
      </c>
      <c r="O150" s="47">
        <f>[8]Production!AO118</f>
        <v>0</v>
      </c>
    </row>
    <row r="151" spans="2:16" ht="17.25" thickTop="1" thickBot="1" x14ac:dyDescent="0.3">
      <c r="C151" s="72" t="s">
        <v>3</v>
      </c>
      <c r="D151" s="340">
        <f t="shared" ref="D151:J151" si="26">SUM(D146:D150)</f>
        <v>1.0007540476221046</v>
      </c>
      <c r="E151" s="340">
        <f t="shared" si="26"/>
        <v>0.9997632036298898</v>
      </c>
      <c r="F151" s="340">
        <f t="shared" si="26"/>
        <v>0.9997632036298898</v>
      </c>
      <c r="G151" s="340">
        <f t="shared" si="26"/>
        <v>1</v>
      </c>
      <c r="H151" s="340">
        <f t="shared" si="26"/>
        <v>1</v>
      </c>
      <c r="I151" s="340">
        <f t="shared" si="26"/>
        <v>1</v>
      </c>
      <c r="J151" s="341">
        <f t="shared" si="26"/>
        <v>1.0003202061306327</v>
      </c>
      <c r="M151" s="98" t="s">
        <v>3</v>
      </c>
      <c r="N151" s="47">
        <f>SUM(N147:N150)</f>
        <v>1.0003202061306327</v>
      </c>
      <c r="O151" s="47">
        <f>SUM(O147:O150)</f>
        <v>0.99999999999999989</v>
      </c>
    </row>
    <row r="152" spans="2:16" ht="16.5" thickTop="1" x14ac:dyDescent="0.25">
      <c r="M152" s="39" t="s">
        <v>135</v>
      </c>
    </row>
    <row r="153" spans="2:16" x14ac:dyDescent="0.25">
      <c r="C153" s="39" t="s">
        <v>136</v>
      </c>
    </row>
    <row r="154" spans="2:16" x14ac:dyDescent="0.25">
      <c r="C154" s="39" t="s">
        <v>137</v>
      </c>
    </row>
    <row r="155" spans="2:16" x14ac:dyDescent="0.25">
      <c r="C155" s="99" t="s">
        <v>138</v>
      </c>
    </row>
    <row r="156" spans="2:16" x14ac:dyDescent="0.25">
      <c r="H156" s="23">
        <v>2010</v>
      </c>
    </row>
    <row r="157" spans="2:16" x14ac:dyDescent="0.25">
      <c r="C157" s="26"/>
      <c r="D157" s="26" t="s">
        <v>7</v>
      </c>
      <c r="E157" s="26" t="s">
        <v>9</v>
      </c>
      <c r="F157" s="26"/>
      <c r="G157" s="26" t="s">
        <v>8</v>
      </c>
      <c r="H157" s="26" t="s">
        <v>139</v>
      </c>
      <c r="I157" s="26" t="s">
        <v>10</v>
      </c>
      <c r="J157" s="27" t="s">
        <v>3</v>
      </c>
    </row>
    <row r="158" spans="2:16" x14ac:dyDescent="0.25">
      <c r="B158" s="25" t="s">
        <v>140</v>
      </c>
      <c r="C158" s="28" t="s">
        <v>13</v>
      </c>
      <c r="D158" s="57"/>
      <c r="E158" s="57"/>
      <c r="F158" s="57"/>
      <c r="G158" s="57"/>
      <c r="H158" s="57">
        <v>17.2</v>
      </c>
      <c r="I158" s="57"/>
      <c r="J158" s="41"/>
      <c r="L158" s="23">
        <f t="shared" ref="L158:L163" si="27">H158/$H$164</f>
        <v>0.68635275339185953</v>
      </c>
      <c r="M158" s="23">
        <f>19.4/44.2</f>
        <v>0.43891402714932121</v>
      </c>
    </row>
    <row r="159" spans="2:16" x14ac:dyDescent="0.25">
      <c r="C159" s="28" t="s">
        <v>11</v>
      </c>
      <c r="D159" s="57"/>
      <c r="E159" s="57"/>
      <c r="F159" s="57"/>
      <c r="G159" s="57"/>
      <c r="H159" s="57">
        <v>2.6</v>
      </c>
      <c r="I159" s="57"/>
      <c r="J159" s="41"/>
      <c r="L159" s="23">
        <f t="shared" si="27"/>
        <v>0.10375099760574621</v>
      </c>
      <c r="M159" s="23">
        <f>7.5/44.2</f>
        <v>0.16968325791855202</v>
      </c>
    </row>
    <row r="160" spans="2:16" x14ac:dyDescent="0.25">
      <c r="C160" s="28" t="s">
        <v>14</v>
      </c>
      <c r="D160" s="57"/>
      <c r="E160" s="57"/>
      <c r="F160" s="57"/>
      <c r="G160" s="57"/>
      <c r="H160" s="57">
        <v>4.3499999999999996</v>
      </c>
      <c r="I160" s="57"/>
      <c r="J160" s="41"/>
      <c r="L160" s="23">
        <f t="shared" si="27"/>
        <v>0.17358339984038307</v>
      </c>
      <c r="M160" s="23">
        <f>14.7/44.2</f>
        <v>0.33257918552036198</v>
      </c>
    </row>
    <row r="161" spans="2:13" x14ac:dyDescent="0.25">
      <c r="C161" s="28" t="s">
        <v>133</v>
      </c>
      <c r="D161" s="57"/>
      <c r="E161" s="57"/>
      <c r="F161" s="57"/>
      <c r="G161" s="57"/>
      <c r="H161" s="57">
        <v>0.91</v>
      </c>
      <c r="I161" s="57"/>
      <c r="J161" s="41"/>
      <c r="L161" s="23">
        <f t="shared" si="27"/>
        <v>3.6312849162011177E-2</v>
      </c>
      <c r="M161" s="23">
        <f>2.5/44.2</f>
        <v>5.6561085972850672E-2</v>
      </c>
    </row>
    <row r="162" spans="2:13" x14ac:dyDescent="0.25">
      <c r="C162" s="28" t="s">
        <v>141</v>
      </c>
      <c r="D162" s="57"/>
      <c r="E162" s="57"/>
      <c r="F162" s="57"/>
      <c r="G162" s="57"/>
      <c r="H162" s="57">
        <v>0</v>
      </c>
      <c r="I162" s="57"/>
      <c r="J162" s="41"/>
      <c r="L162" s="23">
        <f t="shared" si="27"/>
        <v>0</v>
      </c>
    </row>
    <row r="163" spans="2:13" x14ac:dyDescent="0.25">
      <c r="C163" s="63" t="s">
        <v>18</v>
      </c>
      <c r="D163" s="76"/>
      <c r="E163" s="76"/>
      <c r="F163" s="76"/>
      <c r="G163" s="76"/>
      <c r="H163" s="76">
        <v>0</v>
      </c>
      <c r="I163" s="76"/>
      <c r="J163" s="77"/>
      <c r="L163" s="23">
        <f t="shared" si="27"/>
        <v>0</v>
      </c>
    </row>
    <row r="164" spans="2:13" x14ac:dyDescent="0.25">
      <c r="H164" s="100">
        <f>SUM(H158:H163)</f>
        <v>25.06</v>
      </c>
    </row>
    <row r="166" spans="2:13" x14ac:dyDescent="0.25">
      <c r="B166" s="23" t="s">
        <v>142</v>
      </c>
      <c r="C166" s="28" t="s">
        <v>13</v>
      </c>
      <c r="D166" s="23">
        <f t="shared" ref="D166:I170" si="28">D146*D$130*D$38</f>
        <v>18.771491037594913</v>
      </c>
      <c r="E166" s="23">
        <f t="shared" si="28"/>
        <v>25.210218982388419</v>
      </c>
      <c r="F166" s="23">
        <f t="shared" si="28"/>
        <v>0</v>
      </c>
      <c r="G166" s="23">
        <f t="shared" si="28"/>
        <v>0</v>
      </c>
      <c r="H166" s="23">
        <f t="shared" si="28"/>
        <v>12.521520000000001</v>
      </c>
      <c r="I166" s="23">
        <f t="shared" si="28"/>
        <v>17.5185</v>
      </c>
      <c r="J166" s="23">
        <f t="shared" ref="J166:J171" si="29">SUM(D166:I166)</f>
        <v>74.021730019983337</v>
      </c>
    </row>
    <row r="167" spans="2:13" x14ac:dyDescent="0.25">
      <c r="C167" s="28" t="s">
        <v>11</v>
      </c>
      <c r="D167" s="23">
        <f t="shared" si="28"/>
        <v>38.476521960394855</v>
      </c>
      <c r="E167" s="23">
        <f t="shared" si="28"/>
        <v>0</v>
      </c>
      <c r="F167" s="23">
        <f t="shared" si="28"/>
        <v>0</v>
      </c>
      <c r="G167" s="23">
        <f t="shared" si="28"/>
        <v>0</v>
      </c>
      <c r="H167" s="23">
        <f t="shared" si="28"/>
        <v>4.8378600000000009</v>
      </c>
      <c r="I167" s="23">
        <f t="shared" si="28"/>
        <v>0</v>
      </c>
      <c r="J167" s="23">
        <f t="shared" si="29"/>
        <v>43.314381960394854</v>
      </c>
    </row>
    <row r="168" spans="2:13" x14ac:dyDescent="0.25">
      <c r="C168" s="28" t="s">
        <v>14</v>
      </c>
      <c r="D168" s="23">
        <f t="shared" si="28"/>
        <v>25.284571573973768</v>
      </c>
      <c r="E168" s="23">
        <f>E148*E$130*E$38</f>
        <v>17.417969478741089</v>
      </c>
      <c r="F168" s="23">
        <f t="shared" si="28"/>
        <v>0</v>
      </c>
      <c r="G168" s="23">
        <f>G148*G$130*G$38</f>
        <v>13.801875000000001</v>
      </c>
      <c r="H168" s="23">
        <f t="shared" si="28"/>
        <v>9.4765139999999999</v>
      </c>
      <c r="I168" s="23">
        <f t="shared" si="28"/>
        <v>17.5185</v>
      </c>
      <c r="J168" s="23">
        <f t="shared" si="29"/>
        <v>83.499430052714857</v>
      </c>
    </row>
    <row r="169" spans="2:13" x14ac:dyDescent="0.25">
      <c r="C169" s="28" t="s">
        <v>133</v>
      </c>
      <c r="D169" s="23">
        <f>D149*D$130*D$38</f>
        <v>26.933565372276405</v>
      </c>
      <c r="E169" s="23">
        <f t="shared" si="28"/>
        <v>2.7393517283610764</v>
      </c>
      <c r="F169" s="23">
        <f t="shared" si="28"/>
        <v>0</v>
      </c>
      <c r="G169" s="23">
        <f t="shared" si="28"/>
        <v>4.6006250000000009</v>
      </c>
      <c r="H169" s="23">
        <f t="shared" si="28"/>
        <v>1.6221060000000003</v>
      </c>
      <c r="I169" s="23">
        <f t="shared" si="28"/>
        <v>2.9197499999999996</v>
      </c>
      <c r="J169" s="23">
        <f t="shared" si="29"/>
        <v>38.815398100637488</v>
      </c>
    </row>
    <row r="170" spans="2:13" x14ac:dyDescent="0.25">
      <c r="C170" s="28" t="s">
        <v>141</v>
      </c>
      <c r="D170" s="23">
        <f t="shared" si="28"/>
        <v>0.54966459943421242</v>
      </c>
      <c r="E170" s="23">
        <f t="shared" si="28"/>
        <v>0.45836761786160762</v>
      </c>
      <c r="F170" s="23">
        <f t="shared" si="28"/>
        <v>0</v>
      </c>
      <c r="G170" s="23">
        <f t="shared" si="28"/>
        <v>0</v>
      </c>
      <c r="H170" s="23">
        <f t="shared" si="28"/>
        <v>0</v>
      </c>
      <c r="I170" s="23">
        <f t="shared" si="28"/>
        <v>0.97324999999999995</v>
      </c>
      <c r="J170" s="23">
        <f t="shared" si="29"/>
        <v>1.98128221729582</v>
      </c>
    </row>
    <row r="171" spans="2:13" x14ac:dyDescent="0.25">
      <c r="C171" s="63" t="s">
        <v>3</v>
      </c>
      <c r="D171" s="23">
        <f>SUM(D166:D170)</f>
        <v>110.01581454367415</v>
      </c>
      <c r="E171" s="23">
        <f>SUM(E166:E170)</f>
        <v>45.825907807352195</v>
      </c>
      <c r="G171" s="23">
        <f>SUM(G166:G170)</f>
        <v>18.402500000000003</v>
      </c>
      <c r="H171" s="23">
        <f>SUM(H166:H170)</f>
        <v>28.458000000000002</v>
      </c>
      <c r="I171" s="23">
        <f>SUM(I166:I170)</f>
        <v>38.93</v>
      </c>
      <c r="J171" s="23">
        <f t="shared" si="29"/>
        <v>241.63222235102637</v>
      </c>
    </row>
    <row r="173" spans="2:13" x14ac:dyDescent="0.25">
      <c r="E173" s="23" t="s">
        <v>7</v>
      </c>
      <c r="F173" s="23" t="s">
        <v>9</v>
      </c>
      <c r="G173" s="23" t="s">
        <v>7</v>
      </c>
      <c r="H173" s="23" t="s">
        <v>9</v>
      </c>
      <c r="I173" s="23" t="s">
        <v>8</v>
      </c>
      <c r="J173" s="23" t="s">
        <v>8</v>
      </c>
    </row>
    <row r="174" spans="2:13" x14ac:dyDescent="0.25">
      <c r="C174" s="23" t="s">
        <v>13</v>
      </c>
      <c r="D174" s="23" t="s">
        <v>143</v>
      </c>
      <c r="E174" s="23">
        <v>2.1936423999999999</v>
      </c>
      <c r="F174" s="23">
        <v>40.614632399999998</v>
      </c>
      <c r="G174" s="23">
        <v>3.2331153778621828E-2</v>
      </c>
      <c r="H174" s="23">
        <v>0.84008673893196162</v>
      </c>
      <c r="I174" s="23">
        <v>0</v>
      </c>
      <c r="J174" s="23">
        <v>0</v>
      </c>
    </row>
    <row r="175" spans="2:13" x14ac:dyDescent="0.25">
      <c r="C175" s="23" t="s">
        <v>11</v>
      </c>
      <c r="D175" s="23" t="s">
        <v>143</v>
      </c>
      <c r="E175" s="23">
        <v>50.4669174</v>
      </c>
      <c r="F175" s="23">
        <v>0</v>
      </c>
      <c r="G175" s="23">
        <v>0.74381023415320824</v>
      </c>
      <c r="H175" s="23">
        <v>0</v>
      </c>
      <c r="I175" s="23">
        <v>0</v>
      </c>
      <c r="J175" s="23">
        <v>0</v>
      </c>
    </row>
    <row r="176" spans="2:13" x14ac:dyDescent="0.25">
      <c r="C176" s="23" t="s">
        <v>14</v>
      </c>
      <c r="D176" s="23" t="s">
        <v>143</v>
      </c>
      <c r="E176" s="23">
        <v>9.4154531076923078</v>
      </c>
      <c r="F176" s="23">
        <v>4.6839817403076918</v>
      </c>
      <c r="G176" s="23">
        <v>0.13877032205440723</v>
      </c>
      <c r="H176" s="23">
        <v>9.6885056269324837E-2</v>
      </c>
      <c r="I176" s="23">
        <v>2.3659843199999999</v>
      </c>
      <c r="J176" s="23">
        <v>0.56336974687003472</v>
      </c>
    </row>
    <row r="177" spans="2:10" x14ac:dyDescent="0.25">
      <c r="C177" s="23" t="s">
        <v>133</v>
      </c>
      <c r="D177" s="23" t="s">
        <v>143</v>
      </c>
      <c r="E177" s="23">
        <v>5.5663559487179501</v>
      </c>
      <c r="F177" s="23">
        <v>2.931330051282051</v>
      </c>
      <c r="G177" s="23">
        <v>8.2040131137393432E-2</v>
      </c>
      <c r="H177" s="23">
        <v>6.0632618295341223E-2</v>
      </c>
      <c r="I177" s="23">
        <v>1.8337163794871794</v>
      </c>
      <c r="J177" s="23">
        <v>0.43663025312996528</v>
      </c>
    </row>
    <row r="178" spans="2:10" x14ac:dyDescent="0.25">
      <c r="C178" s="23" t="s">
        <v>134</v>
      </c>
      <c r="D178" s="23" t="s">
        <v>143</v>
      </c>
      <c r="E178" s="23">
        <v>0.20681509230769232</v>
      </c>
      <c r="F178" s="23">
        <v>0.11581645169230768</v>
      </c>
      <c r="G178" s="23">
        <v>3.0481588763692155E-3</v>
      </c>
      <c r="H178" s="23">
        <v>2.395586503372165E-3</v>
      </c>
      <c r="I178" s="23">
        <v>0</v>
      </c>
      <c r="J178" s="23">
        <v>0</v>
      </c>
    </row>
    <row r="179" spans="2:10" x14ac:dyDescent="0.25">
      <c r="E179" s="23">
        <v>22.616394649572651</v>
      </c>
      <c r="F179" s="23">
        <v>33.573444891168094</v>
      </c>
      <c r="I179" s="23">
        <v>2.9164588190883189</v>
      </c>
    </row>
    <row r="182" spans="2:10" x14ac:dyDescent="0.25">
      <c r="B182" s="23" t="s">
        <v>509</v>
      </c>
    </row>
    <row r="183" spans="2:10" x14ac:dyDescent="0.25">
      <c r="B183" s="402"/>
      <c r="C183" s="403"/>
      <c r="D183" s="403"/>
      <c r="E183" s="403"/>
      <c r="F183" s="403"/>
      <c r="G183" s="403"/>
      <c r="H183" s="403"/>
      <c r="I183" s="403"/>
      <c r="J183" s="404"/>
    </row>
    <row r="184" spans="2:10" x14ac:dyDescent="0.25">
      <c r="B184" s="370" t="s">
        <v>510</v>
      </c>
      <c r="C184" s="372"/>
      <c r="D184" s="372"/>
      <c r="E184" s="372"/>
      <c r="F184" s="372"/>
      <c r="G184" s="372"/>
      <c r="H184" s="372"/>
      <c r="I184" s="372"/>
      <c r="J184" s="405"/>
    </row>
    <row r="185" spans="2:10" x14ac:dyDescent="0.25">
      <c r="B185" s="370"/>
      <c r="C185" s="28" t="s">
        <v>13</v>
      </c>
      <c r="D185" s="406">
        <f>D146*D$130</f>
        <v>4.3302170790299686</v>
      </c>
      <c r="E185" s="406">
        <f t="shared" ref="E185:J185" si="30">E146*E$130</f>
        <v>20.596584135938251</v>
      </c>
      <c r="F185" s="406">
        <f t="shared" si="30"/>
        <v>0</v>
      </c>
      <c r="G185" s="406">
        <f t="shared" si="30"/>
        <v>0</v>
      </c>
      <c r="H185" s="406">
        <f t="shared" si="30"/>
        <v>11.88</v>
      </c>
      <c r="I185" s="406">
        <f t="shared" si="30"/>
        <v>20.61</v>
      </c>
      <c r="J185" s="407">
        <f t="shared" si="30"/>
        <v>5.9756182459967411</v>
      </c>
    </row>
    <row r="186" spans="2:10" x14ac:dyDescent="0.25">
      <c r="B186" s="370"/>
      <c r="C186" s="28" t="s">
        <v>11</v>
      </c>
      <c r="D186" s="406">
        <f t="shared" ref="D186:J186" si="31">D147*D$130</f>
        <v>8.8757836125478331</v>
      </c>
      <c r="E186" s="406">
        <f t="shared" si="31"/>
        <v>0</v>
      </c>
      <c r="F186" s="406">
        <f t="shared" si="31"/>
        <v>0</v>
      </c>
      <c r="G186" s="406">
        <f t="shared" si="31"/>
        <v>0</v>
      </c>
      <c r="H186" s="406">
        <f t="shared" si="31"/>
        <v>4.5900000000000007</v>
      </c>
      <c r="I186" s="406">
        <f t="shared" si="31"/>
        <v>0</v>
      </c>
      <c r="J186" s="407">
        <f t="shared" si="31"/>
        <v>4.4861323109367142</v>
      </c>
    </row>
    <row r="187" spans="2:10" x14ac:dyDescent="0.25">
      <c r="B187" s="370"/>
      <c r="C187" s="28" t="s">
        <v>14</v>
      </c>
      <c r="D187" s="406">
        <f t="shared" ref="D187:J187" si="32">D148*D$130</f>
        <v>5.8326578025314344</v>
      </c>
      <c r="E187" s="406">
        <f t="shared" si="32"/>
        <v>14.230367221193701</v>
      </c>
      <c r="F187" s="406">
        <f>F148*F$130</f>
        <v>0</v>
      </c>
      <c r="G187" s="406">
        <f t="shared" si="32"/>
        <v>7.5</v>
      </c>
      <c r="H187" s="406">
        <f t="shared" si="32"/>
        <v>8.9909999999999997</v>
      </c>
      <c r="I187" s="406">
        <f t="shared" si="32"/>
        <v>20.61</v>
      </c>
      <c r="J187" s="407">
        <f t="shared" si="32"/>
        <v>9.4561456232640211</v>
      </c>
    </row>
    <row r="188" spans="2:10" x14ac:dyDescent="0.25">
      <c r="B188" s="370"/>
      <c r="C188" s="28" t="s">
        <v>133</v>
      </c>
      <c r="D188" s="406">
        <f t="shared" ref="D188:J188" si="33">D149*D$130</f>
        <v>6.2130485287834842</v>
      </c>
      <c r="E188" s="406">
        <f t="shared" si="33"/>
        <v>2.2380324578113369</v>
      </c>
      <c r="F188" s="406">
        <f t="shared" si="33"/>
        <v>0</v>
      </c>
      <c r="G188" s="406">
        <f t="shared" si="33"/>
        <v>2.5</v>
      </c>
      <c r="H188" s="406">
        <f t="shared" si="33"/>
        <v>1.5390000000000001</v>
      </c>
      <c r="I188" s="406">
        <f t="shared" si="33"/>
        <v>3.4349999999999996</v>
      </c>
      <c r="J188" s="407">
        <f t="shared" si="33"/>
        <v>4.546123514757161</v>
      </c>
    </row>
    <row r="189" spans="2:10" x14ac:dyDescent="0.25">
      <c r="B189" s="408"/>
      <c r="C189" s="409" t="s">
        <v>141</v>
      </c>
      <c r="D189" s="410">
        <f t="shared" ref="D189:J189" si="34">D150*D$130</f>
        <v>0.12679690875068336</v>
      </c>
      <c r="E189" s="410">
        <f t="shared" si="34"/>
        <v>0.37448334792615001</v>
      </c>
      <c r="F189" s="410">
        <f t="shared" si="34"/>
        <v>0</v>
      </c>
      <c r="G189" s="410">
        <f t="shared" si="34"/>
        <v>0</v>
      </c>
      <c r="H189" s="410">
        <f t="shared" si="34"/>
        <v>0</v>
      </c>
      <c r="I189" s="410">
        <f t="shared" si="34"/>
        <v>1.145</v>
      </c>
      <c r="J189" s="411">
        <f t="shared" si="34"/>
        <v>0.14588134431295358</v>
      </c>
    </row>
    <row r="192" spans="2:10" x14ac:dyDescent="0.25">
      <c r="I192" s="23" t="s">
        <v>7</v>
      </c>
      <c r="J192" s="23">
        <v>3</v>
      </c>
    </row>
    <row r="193" spans="2:11" x14ac:dyDescent="0.25">
      <c r="I193" s="23" t="s">
        <v>9</v>
      </c>
      <c r="J193" s="23">
        <v>1.44</v>
      </c>
    </row>
    <row r="194" spans="2:11" x14ac:dyDescent="0.25">
      <c r="B194" s="23" t="s">
        <v>144</v>
      </c>
    </row>
    <row r="195" spans="2:11" x14ac:dyDescent="0.25">
      <c r="C195" s="23" t="s">
        <v>145</v>
      </c>
      <c r="D195" s="23" t="s">
        <v>146</v>
      </c>
      <c r="G195" s="23" t="s">
        <v>147</v>
      </c>
      <c r="I195" s="23" t="s">
        <v>7</v>
      </c>
      <c r="J195" s="23" t="s">
        <v>9</v>
      </c>
    </row>
    <row r="196" spans="2:11" x14ac:dyDescent="0.25">
      <c r="B196" s="23" t="s">
        <v>13</v>
      </c>
      <c r="C196" s="23" t="s">
        <v>148</v>
      </c>
      <c r="D196" s="23">
        <v>27.8</v>
      </c>
      <c r="E196" s="23" t="s">
        <v>149</v>
      </c>
      <c r="G196" s="101">
        <v>4327350.41</v>
      </c>
      <c r="H196" s="101"/>
      <c r="I196" s="101">
        <f>2787484.05*3/4.44+1460958*3/4.44+78908.36</f>
        <v>2949477.3127027019</v>
      </c>
      <c r="J196" s="101">
        <f>2787484.05*1.44/4.44+1460958*1.44/4.44</f>
        <v>1377873.0972972971</v>
      </c>
    </row>
    <row r="197" spans="2:11" x14ac:dyDescent="0.25">
      <c r="B197" s="23" t="s">
        <v>11</v>
      </c>
      <c r="C197" s="23" t="s">
        <v>148</v>
      </c>
      <c r="D197" s="23">
        <v>28.2</v>
      </c>
      <c r="E197" s="23" t="s">
        <v>149</v>
      </c>
      <c r="G197" s="101">
        <v>2256009</v>
      </c>
      <c r="H197" s="101"/>
      <c r="I197" s="101">
        <f>G197</f>
        <v>2256009</v>
      </c>
      <c r="J197" s="101">
        <v>0</v>
      </c>
    </row>
    <row r="198" spans="2:11" x14ac:dyDescent="0.25">
      <c r="B198" s="23" t="s">
        <v>14</v>
      </c>
      <c r="C198" s="23" t="s">
        <v>150</v>
      </c>
      <c r="D198" s="23">
        <v>3.6</v>
      </c>
      <c r="E198" s="23" t="s">
        <v>151</v>
      </c>
      <c r="G198" s="101">
        <v>3916509.68</v>
      </c>
      <c r="H198" s="101"/>
      <c r="I198" s="101">
        <f>292000*3/4.44+635000*3/4.44+0.1*969000+2020509*3/4.44</f>
        <v>2088460.1351351349</v>
      </c>
      <c r="J198" s="101">
        <f>292000*1.44/4.44+635000*1.44/4.44+0.9*969000+2020509*1.44/4.44</f>
        <v>1828048.8648648646</v>
      </c>
    </row>
    <row r="199" spans="2:11" x14ac:dyDescent="0.25">
      <c r="B199" s="23" t="s">
        <v>133</v>
      </c>
      <c r="C199" s="23" t="s">
        <v>152</v>
      </c>
      <c r="D199" s="23">
        <v>1</v>
      </c>
      <c r="E199" s="23" t="s">
        <v>153</v>
      </c>
      <c r="G199" s="101">
        <v>7921275</v>
      </c>
      <c r="H199" s="101"/>
      <c r="I199" s="101">
        <f>G199*3/4.44</f>
        <v>5352212.8378378376</v>
      </c>
      <c r="J199" s="101">
        <f>G199*1.44/4.44</f>
        <v>2569062.1621621619</v>
      </c>
    </row>
    <row r="200" spans="2:11" x14ac:dyDescent="0.25">
      <c r="B200" s="23" t="s">
        <v>154</v>
      </c>
      <c r="C200" s="23" t="s">
        <v>152</v>
      </c>
      <c r="D200" s="23">
        <v>1</v>
      </c>
      <c r="E200" s="23" t="s">
        <v>153</v>
      </c>
      <c r="G200" s="101">
        <v>589275</v>
      </c>
      <c r="H200" s="101"/>
      <c r="I200" s="101">
        <f>G200*3/4.44</f>
        <v>398158.78378378373</v>
      </c>
      <c r="J200" s="101">
        <f>G200*1.44/4.44</f>
        <v>191116.21621621621</v>
      </c>
    </row>
    <row r="201" spans="2:11" x14ac:dyDescent="0.25">
      <c r="B201" s="23" t="s">
        <v>155</v>
      </c>
      <c r="C201" s="23" t="s">
        <v>156</v>
      </c>
      <c r="D201" s="23">
        <v>41.716000000000001</v>
      </c>
      <c r="E201" s="23" t="s">
        <v>157</v>
      </c>
      <c r="G201" s="101">
        <v>7733.72</v>
      </c>
      <c r="H201" s="101"/>
      <c r="I201" s="101">
        <f>G201*3/4.44</f>
        <v>5225.4864864864858</v>
      </c>
      <c r="J201" s="101">
        <f>G201*1.44/4.44</f>
        <v>2508.2335135135136</v>
      </c>
    </row>
    <row r="202" spans="2:11" x14ac:dyDescent="0.25">
      <c r="G202" s="101"/>
      <c r="H202" s="101"/>
      <c r="I202" s="101"/>
      <c r="J202" s="101"/>
    </row>
    <row r="203" spans="2:11" x14ac:dyDescent="0.25">
      <c r="G203" s="23" t="s">
        <v>126</v>
      </c>
      <c r="I203" s="23" t="s">
        <v>0</v>
      </c>
      <c r="J203" s="23" t="s">
        <v>158</v>
      </c>
      <c r="K203" s="23" t="s">
        <v>159</v>
      </c>
    </row>
    <row r="204" spans="2:11" x14ac:dyDescent="0.25">
      <c r="D204" s="23" t="s">
        <v>13</v>
      </c>
      <c r="G204" s="101">
        <f t="shared" ref="G204:G209" si="35">G196*D196</f>
        <v>120300341.398</v>
      </c>
      <c r="H204" s="101"/>
      <c r="I204" s="101">
        <f t="shared" ref="I204:I209" si="36">I196*D196</f>
        <v>81995469.293135121</v>
      </c>
      <c r="J204" s="101">
        <f t="shared" ref="J204:J209" si="37">J196*D196</f>
        <v>38304872.104864858</v>
      </c>
      <c r="K204" s="101">
        <f>J204*0.2</f>
        <v>7660974.4209729722</v>
      </c>
    </row>
    <row r="205" spans="2:11" x14ac:dyDescent="0.25">
      <c r="D205" s="23" t="s">
        <v>11</v>
      </c>
      <c r="G205" s="101">
        <f t="shared" si="35"/>
        <v>63619453.799999997</v>
      </c>
      <c r="H205" s="101"/>
      <c r="I205" s="101">
        <f t="shared" si="36"/>
        <v>63619453.799999997</v>
      </c>
      <c r="J205" s="101">
        <f t="shared" si="37"/>
        <v>0</v>
      </c>
      <c r="K205" s="101">
        <v>0</v>
      </c>
    </row>
    <row r="206" spans="2:11" x14ac:dyDescent="0.25">
      <c r="D206" s="23" t="s">
        <v>14</v>
      </c>
      <c r="G206" s="101">
        <f t="shared" si="35"/>
        <v>14099434.848000001</v>
      </c>
      <c r="H206" s="101"/>
      <c r="I206" s="101">
        <f t="shared" si="36"/>
        <v>7518456.4864864862</v>
      </c>
      <c r="J206" s="101">
        <f t="shared" si="37"/>
        <v>6580975.9135135124</v>
      </c>
      <c r="K206" s="101">
        <f>J206</f>
        <v>6580975.9135135124</v>
      </c>
    </row>
    <row r="207" spans="2:11" x14ac:dyDescent="0.25">
      <c r="D207" s="23" t="s">
        <v>133</v>
      </c>
      <c r="G207" s="101">
        <f t="shared" si="35"/>
        <v>7921275</v>
      </c>
      <c r="H207" s="101"/>
      <c r="I207" s="101">
        <f t="shared" si="36"/>
        <v>5352212.8378378376</v>
      </c>
      <c r="J207" s="101">
        <f t="shared" si="37"/>
        <v>2569062.1621621619</v>
      </c>
      <c r="K207" s="101">
        <f>J207</f>
        <v>2569062.1621621619</v>
      </c>
    </row>
    <row r="208" spans="2:11" x14ac:dyDescent="0.25">
      <c r="D208" s="23" t="s">
        <v>154</v>
      </c>
      <c r="G208" s="101">
        <f t="shared" si="35"/>
        <v>589275</v>
      </c>
      <c r="H208" s="101"/>
      <c r="I208" s="101">
        <f t="shared" si="36"/>
        <v>398158.78378378373</v>
      </c>
      <c r="J208" s="101">
        <f t="shared" si="37"/>
        <v>191116.21621621621</v>
      </c>
      <c r="K208" s="101">
        <f>J208</f>
        <v>191116.21621621621</v>
      </c>
    </row>
    <row r="209" spans="4:11" x14ac:dyDescent="0.25">
      <c r="D209" s="23" t="s">
        <v>155</v>
      </c>
      <c r="G209" s="101">
        <f t="shared" si="35"/>
        <v>322619.86352000001</v>
      </c>
      <c r="H209" s="101"/>
      <c r="I209" s="101">
        <f t="shared" si="36"/>
        <v>217986.39427027025</v>
      </c>
      <c r="J209" s="101">
        <f t="shared" si="37"/>
        <v>104633.46924972974</v>
      </c>
      <c r="K209" s="101">
        <f>J209</f>
        <v>104633.46924972974</v>
      </c>
    </row>
    <row r="210" spans="4:11" x14ac:dyDescent="0.25">
      <c r="G210" s="101">
        <f>SUM(G204:G209)</f>
        <v>206852399.90952</v>
      </c>
      <c r="H210" s="101"/>
      <c r="I210" s="101">
        <f>SUM(I204:I209)</f>
        <v>159101737.59551352</v>
      </c>
      <c r="J210" s="101">
        <f>SUM(J204:J209)</f>
        <v>47750659.866006479</v>
      </c>
      <c r="K210" s="101">
        <f>SUM(K204:K209)</f>
        <v>17106762.182114594</v>
      </c>
    </row>
    <row r="211" spans="4:11" x14ac:dyDescent="0.25">
      <c r="G211" s="101"/>
      <c r="H211" s="101"/>
      <c r="I211" s="101">
        <f>I210/3000000</f>
        <v>53.033912531837842</v>
      </c>
      <c r="J211" s="101">
        <f>J210/1440000</f>
        <v>33.160180462504499</v>
      </c>
      <c r="K211" s="101"/>
    </row>
    <row r="213" spans="4:11" x14ac:dyDescent="0.25">
      <c r="D213" s="23" t="s">
        <v>13</v>
      </c>
      <c r="G213" s="23">
        <f>G204/G$210</f>
        <v>0.58157575861155575</v>
      </c>
      <c r="I213" s="23">
        <f>I204/I$210</f>
        <v>0.51536501443870653</v>
      </c>
      <c r="J213" s="23">
        <f>J204/J$210</f>
        <v>0.80218518890320001</v>
      </c>
      <c r="K213" s="23">
        <f>K204/K$210</f>
        <v>0.44783310479306537</v>
      </c>
    </row>
    <row r="214" spans="4:11" x14ac:dyDescent="0.25">
      <c r="D214" s="23" t="s">
        <v>11</v>
      </c>
      <c r="G214" s="23">
        <f t="shared" ref="G214:J218" si="38">G205/G$210</f>
        <v>0.30755966006596003</v>
      </c>
      <c r="I214" s="23">
        <f t="shared" si="38"/>
        <v>0.3998664927327229</v>
      </c>
      <c r="J214" s="23">
        <f t="shared" si="38"/>
        <v>0</v>
      </c>
      <c r="K214" s="23">
        <f>K205/K$210</f>
        <v>0</v>
      </c>
    </row>
    <row r="215" spans="4:11" x14ac:dyDescent="0.25">
      <c r="D215" s="23" t="s">
        <v>14</v>
      </c>
      <c r="G215" s="23">
        <f t="shared" si="38"/>
        <v>6.8161814192957304E-2</v>
      </c>
      <c r="I215" s="23">
        <f t="shared" si="38"/>
        <v>4.7255652892998309E-2</v>
      </c>
      <c r="J215" s="23">
        <f t="shared" si="38"/>
        <v>0.13781958054570226</v>
      </c>
      <c r="K215" s="23">
        <f>K206/K$210</f>
        <v>0.3847002631739414</v>
      </c>
    </row>
    <row r="216" spans="4:11" x14ac:dyDescent="0.25">
      <c r="D216" s="23" t="s">
        <v>133</v>
      </c>
      <c r="G216" s="23">
        <f t="shared" si="38"/>
        <v>3.8294334527735098E-2</v>
      </c>
      <c r="I216" s="23">
        <f t="shared" si="38"/>
        <v>3.3640190979213815E-2</v>
      </c>
      <c r="J216" s="23">
        <f t="shared" si="38"/>
        <v>5.3801605451552471E-2</v>
      </c>
      <c r="K216" s="23">
        <f>K207/K$210</f>
        <v>0.15017816550043347</v>
      </c>
    </row>
    <row r="217" spans="4:11" x14ac:dyDescent="0.25">
      <c r="D217" s="23" t="s">
        <v>154</v>
      </c>
      <c r="G217" s="23">
        <f t="shared" si="38"/>
        <v>2.8487704288553419E-3</v>
      </c>
      <c r="I217" s="23">
        <f t="shared" si="38"/>
        <v>2.5025420199748425E-3</v>
      </c>
      <c r="J217" s="23">
        <f t="shared" si="38"/>
        <v>4.002378537857048E-3</v>
      </c>
      <c r="K217" s="23">
        <f>K208/K$210</f>
        <v>1.117196896651965E-2</v>
      </c>
    </row>
    <row r="218" spans="4:11" x14ac:dyDescent="0.25">
      <c r="D218" s="23" t="s">
        <v>155</v>
      </c>
      <c r="G218" s="23">
        <f t="shared" si="38"/>
        <v>1.5596621729364428E-3</v>
      </c>
      <c r="I218" s="23">
        <f t="shared" si="38"/>
        <v>1.3701069363834353E-3</v>
      </c>
      <c r="J218" s="23">
        <f t="shared" si="38"/>
        <v>2.1912465616882068E-3</v>
      </c>
      <c r="K218" s="23">
        <f>K209/K$210</f>
        <v>6.1164975660400415E-3</v>
      </c>
    </row>
  </sheetData>
  <pageMargins left="0.75" right="0.75" top="1" bottom="1" header="0.5" footer="0.5"/>
  <pageSetup paperSize="9" orientation="portrait" horizontalDpi="4294967292" verticalDpi="4294967292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77EBD-2FBB-4A4E-A79F-A0EC0252CB0B}">
  <dimension ref="C2:Y124"/>
  <sheetViews>
    <sheetView workbookViewId="0">
      <selection activeCell="G35" sqref="G35"/>
    </sheetView>
  </sheetViews>
  <sheetFormatPr defaultRowHeight="15" x14ac:dyDescent="0.25"/>
  <sheetData>
    <row r="2" spans="3:25" x14ac:dyDescent="0.25">
      <c r="C2" t="s">
        <v>511</v>
      </c>
      <c r="M2" t="s">
        <v>511</v>
      </c>
    </row>
    <row r="3" spans="3:25" x14ac:dyDescent="0.25">
      <c r="C3" s="15"/>
      <c r="D3" s="16"/>
      <c r="E3" s="16"/>
      <c r="F3" s="16"/>
      <c r="G3" s="16"/>
      <c r="H3" s="16"/>
      <c r="I3" s="3"/>
      <c r="M3" s="15"/>
      <c r="N3" s="16"/>
      <c r="O3" s="16"/>
      <c r="P3" s="16"/>
      <c r="Q3" s="16"/>
      <c r="R3" s="16"/>
      <c r="S3" s="16"/>
      <c r="T3" s="16"/>
      <c r="U3" s="16"/>
      <c r="V3" s="3"/>
    </row>
    <row r="4" spans="3:25" x14ac:dyDescent="0.25">
      <c r="C4" s="4"/>
      <c r="D4" s="19">
        <v>2018</v>
      </c>
      <c r="E4" s="19">
        <v>2017</v>
      </c>
      <c r="F4" s="19">
        <v>2016</v>
      </c>
      <c r="G4" s="12"/>
      <c r="H4" s="12"/>
      <c r="I4" s="5"/>
      <c r="M4" s="4"/>
      <c r="N4" s="12"/>
      <c r="O4" s="12"/>
      <c r="P4" s="12"/>
      <c r="Q4" s="12"/>
      <c r="R4" s="12"/>
      <c r="S4" s="12"/>
      <c r="T4" s="12"/>
      <c r="U4" s="12"/>
      <c r="V4" s="5"/>
      <c r="Y4" t="s">
        <v>669</v>
      </c>
    </row>
    <row r="5" spans="3:25" x14ac:dyDescent="0.25">
      <c r="C5" s="4" t="s">
        <v>404</v>
      </c>
      <c r="D5" s="12">
        <v>2.33</v>
      </c>
      <c r="E5" s="12">
        <v>2.34</v>
      </c>
      <c r="F5" s="12">
        <v>2.3199999999999998</v>
      </c>
      <c r="G5" s="12" t="s">
        <v>408</v>
      </c>
      <c r="H5" s="12"/>
      <c r="I5" s="5"/>
      <c r="M5" s="6" t="s">
        <v>430</v>
      </c>
      <c r="N5" s="12"/>
      <c r="O5" s="12"/>
      <c r="P5" s="12"/>
      <c r="Q5" s="12"/>
      <c r="R5" s="12"/>
      <c r="S5" s="12"/>
      <c r="T5" s="12"/>
      <c r="U5" s="12"/>
      <c r="V5" s="5"/>
      <c r="Y5" s="132" t="s">
        <v>670</v>
      </c>
    </row>
    <row r="6" spans="3:25" x14ac:dyDescent="0.25">
      <c r="C6" s="4" t="s">
        <v>404</v>
      </c>
      <c r="D6" s="12">
        <v>2.91</v>
      </c>
      <c r="E6" s="12">
        <v>3.01</v>
      </c>
      <c r="F6" s="12">
        <v>3</v>
      </c>
      <c r="G6" s="12" t="s">
        <v>406</v>
      </c>
      <c r="H6" s="12"/>
      <c r="I6" s="5"/>
      <c r="M6" s="4"/>
      <c r="N6" s="12"/>
      <c r="O6" s="12" t="s">
        <v>1002</v>
      </c>
      <c r="P6" s="12"/>
      <c r="Q6" s="12"/>
      <c r="R6" s="12"/>
      <c r="S6" s="12"/>
      <c r="T6" s="12"/>
      <c r="U6" s="12"/>
      <c r="V6" s="5"/>
    </row>
    <row r="7" spans="3:25" x14ac:dyDescent="0.25">
      <c r="C7" s="4" t="s">
        <v>405</v>
      </c>
      <c r="D7" s="12">
        <v>14.84</v>
      </c>
      <c r="E7" s="12">
        <v>14.71</v>
      </c>
      <c r="F7" s="12">
        <v>14.3</v>
      </c>
      <c r="G7" s="12" t="s">
        <v>411</v>
      </c>
      <c r="H7" s="12"/>
      <c r="I7" s="5"/>
      <c r="M7" s="4" t="s">
        <v>1003</v>
      </c>
      <c r="N7" s="12"/>
      <c r="O7" s="12">
        <v>4493</v>
      </c>
      <c r="P7" s="12"/>
      <c r="Q7" s="12" t="s">
        <v>1004</v>
      </c>
      <c r="R7" s="12"/>
      <c r="S7" s="12"/>
      <c r="T7" s="12"/>
      <c r="U7" s="12"/>
      <c r="V7" s="5"/>
    </row>
    <row r="8" spans="3:25" x14ac:dyDescent="0.25">
      <c r="C8" s="4"/>
      <c r="D8" s="12"/>
      <c r="E8" s="12"/>
      <c r="F8" s="12"/>
      <c r="G8" s="12"/>
      <c r="H8" s="12"/>
      <c r="I8" s="5"/>
      <c r="M8" s="4"/>
      <c r="N8" s="12"/>
      <c r="O8" s="12" t="s">
        <v>429</v>
      </c>
      <c r="P8" s="12"/>
      <c r="Q8" s="12"/>
      <c r="R8" s="12"/>
      <c r="S8" s="12"/>
      <c r="T8" s="12"/>
      <c r="U8" s="12"/>
      <c r="V8" s="5"/>
    </row>
    <row r="9" spans="3:25" x14ac:dyDescent="0.25">
      <c r="C9" s="4" t="s">
        <v>410</v>
      </c>
      <c r="D9" s="288">
        <f>D7/D6</f>
        <v>5.0996563573883158</v>
      </c>
      <c r="E9" s="288">
        <f>E7/E6</f>
        <v>4.8870431893687716</v>
      </c>
      <c r="F9" s="288">
        <f>F7/F6</f>
        <v>4.7666666666666666</v>
      </c>
      <c r="G9" s="12" t="s">
        <v>407</v>
      </c>
      <c r="H9" s="12"/>
      <c r="I9" s="5"/>
      <c r="M9" s="4" t="s">
        <v>1005</v>
      </c>
      <c r="N9" s="12"/>
      <c r="O9" s="12">
        <v>3098</v>
      </c>
      <c r="P9" s="12" t="s">
        <v>1006</v>
      </c>
      <c r="Q9" s="12" t="s">
        <v>1007</v>
      </c>
      <c r="R9" s="12"/>
      <c r="S9" s="12"/>
      <c r="T9" s="12"/>
      <c r="U9" s="12"/>
      <c r="V9" s="5"/>
    </row>
    <row r="10" spans="3:25" x14ac:dyDescent="0.25">
      <c r="C10" s="4"/>
      <c r="D10" s="288"/>
      <c r="E10" s="288"/>
      <c r="F10" s="288"/>
      <c r="G10" s="12"/>
      <c r="H10" s="12"/>
      <c r="I10" s="5"/>
      <c r="M10" s="4" t="s">
        <v>1008</v>
      </c>
      <c r="N10" s="12"/>
      <c r="O10" s="12">
        <v>1393</v>
      </c>
      <c r="P10" s="12" t="s">
        <v>1006</v>
      </c>
      <c r="Q10" s="12" t="s">
        <v>1007</v>
      </c>
      <c r="R10" s="12"/>
      <c r="S10" s="12"/>
      <c r="T10" s="12"/>
      <c r="U10" s="12"/>
      <c r="V10" s="5"/>
    </row>
    <row r="11" spans="3:25" x14ac:dyDescent="0.25">
      <c r="C11" s="4"/>
      <c r="D11" s="398">
        <f>D9*D5</f>
        <v>11.882199312714777</v>
      </c>
      <c r="E11" s="398">
        <f>E9*E5</f>
        <v>11.435681063122924</v>
      </c>
      <c r="F11" s="398">
        <f>F9*F5</f>
        <v>11.058666666666666</v>
      </c>
      <c r="G11" s="12" t="s">
        <v>409</v>
      </c>
      <c r="H11" s="12"/>
      <c r="I11" s="5"/>
      <c r="M11" s="4"/>
      <c r="N11" s="12"/>
      <c r="O11" s="12"/>
      <c r="P11" s="12"/>
      <c r="Q11" s="12"/>
      <c r="R11" s="12"/>
      <c r="S11" s="12"/>
      <c r="T11" s="12"/>
      <c r="U11" s="12"/>
      <c r="V11" s="5"/>
    </row>
    <row r="12" spans="3:25" x14ac:dyDescent="0.25">
      <c r="C12" s="7"/>
      <c r="D12" s="8"/>
      <c r="E12" s="8"/>
      <c r="F12" s="8"/>
      <c r="G12" s="8"/>
      <c r="H12" s="8"/>
      <c r="I12" s="9"/>
      <c r="M12" s="4"/>
      <c r="N12" s="12"/>
      <c r="O12" s="12"/>
      <c r="P12" s="12"/>
      <c r="Q12" s="12"/>
      <c r="R12" s="12"/>
      <c r="S12" s="12"/>
      <c r="T12" s="12"/>
      <c r="U12" s="12"/>
      <c r="V12" s="5"/>
    </row>
    <row r="13" spans="3:25" x14ac:dyDescent="0.25">
      <c r="M13" s="6" t="s">
        <v>1009</v>
      </c>
      <c r="N13" s="19"/>
      <c r="O13" s="554">
        <f>O7*1000000/(O9*1000)</f>
        <v>1450.2905100064559</v>
      </c>
      <c r="P13" s="19" t="s">
        <v>1010</v>
      </c>
      <c r="Q13" s="19" t="s">
        <v>1011</v>
      </c>
      <c r="R13" s="12"/>
      <c r="S13" s="12"/>
      <c r="T13" s="12"/>
      <c r="U13" s="12"/>
      <c r="V13" s="5"/>
    </row>
    <row r="14" spans="3:25" x14ac:dyDescent="0.25">
      <c r="M14" s="4"/>
      <c r="N14" s="12"/>
      <c r="O14" s="12"/>
      <c r="P14" s="12"/>
      <c r="Q14" s="12"/>
      <c r="R14" s="12"/>
      <c r="S14" s="12"/>
      <c r="T14" s="12"/>
      <c r="U14" s="12"/>
      <c r="V14" s="5"/>
    </row>
    <row r="15" spans="3:25" x14ac:dyDescent="0.25">
      <c r="C15" t="s">
        <v>512</v>
      </c>
      <c r="M15" s="4"/>
      <c r="N15" s="12"/>
      <c r="O15" s="12"/>
      <c r="P15" s="12"/>
      <c r="Q15" s="12"/>
      <c r="R15" s="12"/>
      <c r="S15" s="12"/>
      <c r="T15" s="12"/>
      <c r="U15" s="12"/>
      <c r="V15" s="5"/>
    </row>
    <row r="16" spans="3:25" x14ac:dyDescent="0.25">
      <c r="C16" s="15"/>
      <c r="D16" s="16"/>
      <c r="E16" s="16"/>
      <c r="F16" s="16"/>
      <c r="G16" s="16"/>
      <c r="H16" s="16"/>
      <c r="I16" s="3"/>
      <c r="M16" s="4"/>
      <c r="N16" s="12"/>
      <c r="O16" s="12"/>
      <c r="P16" s="12"/>
      <c r="Q16" s="12"/>
      <c r="R16" s="12"/>
      <c r="S16" s="12"/>
      <c r="T16" s="12"/>
      <c r="U16" s="12"/>
      <c r="V16" s="5"/>
    </row>
    <row r="17" spans="3:22" x14ac:dyDescent="0.25">
      <c r="C17" s="4" t="s">
        <v>514</v>
      </c>
      <c r="D17" s="12"/>
      <c r="E17" s="12"/>
      <c r="F17" s="12"/>
      <c r="G17" s="12"/>
      <c r="H17" s="12"/>
      <c r="I17" s="5"/>
      <c r="M17" s="4"/>
      <c r="N17" s="12"/>
      <c r="O17" s="12"/>
      <c r="P17" s="12"/>
      <c r="Q17" s="12"/>
      <c r="R17" s="12"/>
      <c r="S17" s="12"/>
      <c r="T17" s="12"/>
      <c r="U17" s="12"/>
      <c r="V17" s="5"/>
    </row>
    <row r="18" spans="3:22" x14ac:dyDescent="0.25">
      <c r="C18" s="4">
        <v>2017</v>
      </c>
      <c r="D18" s="399">
        <v>7581</v>
      </c>
      <c r="E18" s="12" t="s">
        <v>513</v>
      </c>
      <c r="F18" s="12"/>
      <c r="G18" s="12"/>
      <c r="H18" s="12"/>
      <c r="I18" s="5"/>
      <c r="M18" s="4" t="s">
        <v>1012</v>
      </c>
      <c r="N18" s="12"/>
      <c r="O18" s="12"/>
      <c r="P18" s="12"/>
      <c r="Q18" s="12"/>
      <c r="R18" s="12"/>
      <c r="S18" s="12"/>
      <c r="T18" s="12"/>
      <c r="U18" s="12"/>
      <c r="V18" s="5"/>
    </row>
    <row r="19" spans="3:22" x14ac:dyDescent="0.25">
      <c r="C19" s="4">
        <v>2016</v>
      </c>
      <c r="D19" s="399">
        <v>6544</v>
      </c>
      <c r="E19" s="12" t="s">
        <v>513</v>
      </c>
      <c r="F19" s="12"/>
      <c r="G19" s="12"/>
      <c r="H19" s="12"/>
      <c r="I19" s="5"/>
      <c r="M19" s="4"/>
      <c r="N19" s="12"/>
      <c r="O19" s="12"/>
      <c r="P19" s="12"/>
      <c r="Q19" s="12"/>
      <c r="R19" s="12"/>
      <c r="S19" s="12"/>
      <c r="T19" s="12"/>
      <c r="U19" s="12"/>
      <c r="V19" s="5"/>
    </row>
    <row r="20" spans="3:22" x14ac:dyDescent="0.25">
      <c r="C20" s="4"/>
      <c r="D20" s="12"/>
      <c r="E20" s="12"/>
      <c r="F20" s="12"/>
      <c r="G20" s="12"/>
      <c r="H20" s="12"/>
      <c r="I20" s="5"/>
      <c r="M20" s="4" t="s">
        <v>1013</v>
      </c>
      <c r="N20" s="12"/>
      <c r="O20" s="12"/>
      <c r="P20" s="12">
        <v>16</v>
      </c>
      <c r="Q20" s="12"/>
      <c r="R20" s="12"/>
      <c r="S20" s="12"/>
      <c r="T20" s="12"/>
      <c r="U20" s="12"/>
      <c r="V20" s="5"/>
    </row>
    <row r="21" spans="3:22" x14ac:dyDescent="0.25">
      <c r="C21" s="4"/>
      <c r="D21" s="12"/>
      <c r="E21" s="12"/>
      <c r="F21" s="12"/>
      <c r="G21" s="12"/>
      <c r="H21" s="12"/>
      <c r="I21" s="5"/>
      <c r="M21" s="131"/>
      <c r="N21" s="131" t="s">
        <v>1010</v>
      </c>
      <c r="O21" s="12"/>
      <c r="P21" s="12" t="s">
        <v>1014</v>
      </c>
      <c r="Q21" s="12"/>
      <c r="R21" s="12"/>
      <c r="S21" s="12"/>
      <c r="T21" s="12"/>
      <c r="U21" s="12"/>
      <c r="V21" s="5"/>
    </row>
    <row r="22" spans="3:22" x14ac:dyDescent="0.25">
      <c r="C22" s="4" t="s">
        <v>515</v>
      </c>
      <c r="D22" s="12"/>
      <c r="E22" s="12"/>
      <c r="F22" s="12"/>
      <c r="G22" s="12"/>
      <c r="H22" s="12"/>
      <c r="I22" s="5"/>
      <c r="M22" s="131" t="s">
        <v>1015</v>
      </c>
      <c r="N22" s="528">
        <v>10250</v>
      </c>
      <c r="O22" s="12"/>
      <c r="P22" s="366">
        <f>N22/$P$20</f>
        <v>640.625</v>
      </c>
      <c r="Q22" s="12"/>
      <c r="R22" s="12"/>
      <c r="S22" s="12"/>
      <c r="T22" s="12"/>
      <c r="U22" s="12"/>
      <c r="V22" s="5"/>
    </row>
    <row r="23" spans="3:22" x14ac:dyDescent="0.25">
      <c r="C23" s="4">
        <v>515</v>
      </c>
      <c r="D23" s="12" t="s">
        <v>516</v>
      </c>
      <c r="E23" s="12"/>
      <c r="F23" s="12"/>
      <c r="G23" s="12"/>
      <c r="H23" s="12"/>
      <c r="I23" s="5"/>
      <c r="M23" s="131" t="s">
        <v>139</v>
      </c>
      <c r="N23" s="528">
        <v>8036</v>
      </c>
      <c r="O23" s="12"/>
      <c r="P23" s="366">
        <f>N23/$P$20</f>
        <v>502.25</v>
      </c>
      <c r="Q23" s="12"/>
      <c r="R23" s="12"/>
      <c r="S23" s="12"/>
      <c r="T23" s="12"/>
      <c r="U23" s="12"/>
      <c r="V23" s="5"/>
    </row>
    <row r="24" spans="3:22" x14ac:dyDescent="0.25">
      <c r="C24" s="4"/>
      <c r="D24" s="12"/>
      <c r="E24" s="12"/>
      <c r="F24" s="12"/>
      <c r="G24" s="12"/>
      <c r="H24" s="12"/>
      <c r="I24" s="5"/>
      <c r="M24" s="4"/>
      <c r="N24" s="12"/>
      <c r="O24" s="12"/>
      <c r="P24" s="12"/>
      <c r="Q24" s="12"/>
      <c r="R24" s="12"/>
      <c r="S24" s="12"/>
      <c r="T24" s="12"/>
      <c r="U24" s="12"/>
      <c r="V24" s="5"/>
    </row>
    <row r="25" spans="3:22" x14ac:dyDescent="0.25">
      <c r="C25" s="4"/>
      <c r="D25" s="12"/>
      <c r="E25" s="12"/>
      <c r="F25" s="12"/>
      <c r="G25" s="12"/>
      <c r="H25" s="12"/>
      <c r="I25" s="5"/>
      <c r="M25" s="7"/>
      <c r="N25" s="8"/>
      <c r="O25" s="8"/>
      <c r="P25" s="8"/>
      <c r="Q25" s="8"/>
      <c r="R25" s="8"/>
      <c r="S25" s="8"/>
      <c r="T25" s="8"/>
      <c r="U25" s="8"/>
      <c r="V25" s="9"/>
    </row>
    <row r="26" spans="3:22" x14ac:dyDescent="0.25">
      <c r="C26" s="400">
        <v>0.74270000000000003</v>
      </c>
      <c r="D26" s="12" t="s">
        <v>517</v>
      </c>
      <c r="E26" s="12"/>
      <c r="F26" s="12"/>
      <c r="G26" s="12"/>
      <c r="H26" s="12"/>
      <c r="I26" s="5"/>
    </row>
    <row r="27" spans="3:22" x14ac:dyDescent="0.25">
      <c r="C27" s="4"/>
      <c r="D27" s="12"/>
      <c r="E27" s="12"/>
      <c r="F27" s="12"/>
      <c r="G27" s="12"/>
      <c r="H27" s="12"/>
      <c r="I27" s="5"/>
    </row>
    <row r="28" spans="3:22" x14ac:dyDescent="0.25">
      <c r="C28" s="7"/>
      <c r="D28" s="8"/>
      <c r="E28" s="8"/>
      <c r="F28" s="8"/>
      <c r="G28" s="8"/>
      <c r="H28" s="8"/>
      <c r="I28" s="9"/>
    </row>
    <row r="34" spans="3:17" x14ac:dyDescent="0.25">
      <c r="C34" t="s">
        <v>753</v>
      </c>
    </row>
    <row r="35" spans="3:17" x14ac:dyDescent="0.25">
      <c r="C35" s="15"/>
      <c r="D35" s="16"/>
      <c r="E35" s="16"/>
      <c r="F35" s="16"/>
      <c r="G35" s="16"/>
      <c r="H35" s="16"/>
      <c r="I35" s="16"/>
      <c r="J35" s="16"/>
      <c r="K35" s="16"/>
      <c r="L35" s="16"/>
      <c r="M35" s="3"/>
      <c r="P35" t="s">
        <v>750</v>
      </c>
    </row>
    <row r="36" spans="3:17" x14ac:dyDescent="0.25">
      <c r="C36" s="4"/>
      <c r="D36" s="12"/>
      <c r="E36" s="12"/>
      <c r="F36" s="12"/>
      <c r="G36" s="12"/>
      <c r="H36" s="12"/>
      <c r="I36" s="12"/>
      <c r="J36" s="12"/>
      <c r="K36" s="12"/>
      <c r="L36" s="12"/>
      <c r="M36" s="5"/>
    </row>
    <row r="37" spans="3:17" x14ac:dyDescent="0.25">
      <c r="C37" s="4"/>
      <c r="D37" s="12"/>
      <c r="E37" s="12"/>
      <c r="F37" s="12"/>
      <c r="G37" s="12"/>
      <c r="H37" s="12"/>
      <c r="I37" s="12"/>
      <c r="J37" s="12"/>
      <c r="K37" s="12"/>
      <c r="L37" s="12"/>
      <c r="M37" s="5"/>
      <c r="P37">
        <v>2014</v>
      </c>
      <c r="Q37" t="s">
        <v>751</v>
      </c>
    </row>
    <row r="38" spans="3:17" x14ac:dyDescent="0.25">
      <c r="C38" s="4"/>
      <c r="D38" s="12"/>
      <c r="E38" s="12"/>
      <c r="F38" s="12"/>
      <c r="G38" s="12"/>
      <c r="H38" s="12"/>
      <c r="I38" s="12" t="s">
        <v>754</v>
      </c>
      <c r="J38" s="12"/>
      <c r="K38" s="12"/>
      <c r="L38" s="12"/>
      <c r="M38" s="5"/>
      <c r="P38">
        <v>1.4</v>
      </c>
      <c r="Q38" t="s">
        <v>752</v>
      </c>
    </row>
    <row r="39" spans="3:17" x14ac:dyDescent="0.25">
      <c r="C39" s="4"/>
      <c r="D39" s="12"/>
      <c r="E39" s="12"/>
      <c r="F39" s="12"/>
      <c r="G39" s="12"/>
      <c r="H39" s="12"/>
      <c r="I39" s="12" t="s">
        <v>755</v>
      </c>
      <c r="J39" s="12"/>
      <c r="K39" s="12"/>
      <c r="L39" s="12"/>
      <c r="M39" s="5"/>
    </row>
    <row r="40" spans="3:17" x14ac:dyDescent="0.25">
      <c r="C40" s="4"/>
      <c r="D40" s="12"/>
      <c r="E40" s="12"/>
      <c r="F40" s="12"/>
      <c r="G40" s="12"/>
      <c r="H40" s="12"/>
      <c r="I40" s="12" t="s">
        <v>756</v>
      </c>
      <c r="J40" s="12"/>
      <c r="K40" s="12"/>
      <c r="L40" s="12"/>
      <c r="M40" s="5"/>
    </row>
    <row r="41" spans="3:17" x14ac:dyDescent="0.25">
      <c r="C41" s="4"/>
      <c r="D41" s="12"/>
      <c r="E41" s="12"/>
      <c r="F41" s="12"/>
      <c r="G41" s="12"/>
      <c r="H41" s="12"/>
      <c r="I41" s="12" t="s">
        <v>757</v>
      </c>
      <c r="J41" s="12"/>
      <c r="K41" s="12"/>
      <c r="L41" s="12"/>
      <c r="M41" s="5"/>
    </row>
    <row r="42" spans="3:17" x14ac:dyDescent="0.25">
      <c r="C42" s="4"/>
      <c r="D42" s="12"/>
      <c r="E42" s="12"/>
      <c r="F42" s="12"/>
      <c r="G42" s="12"/>
      <c r="H42" s="12"/>
      <c r="I42" s="12"/>
      <c r="J42" s="12"/>
      <c r="K42" s="12"/>
      <c r="L42" s="12"/>
      <c r="M42" s="5"/>
    </row>
    <row r="43" spans="3:17" x14ac:dyDescent="0.25">
      <c r="C43" s="4"/>
      <c r="D43" s="12"/>
      <c r="E43" s="12"/>
      <c r="F43" s="12"/>
      <c r="G43" s="12"/>
      <c r="H43" s="12"/>
      <c r="I43" s="12"/>
      <c r="J43" s="12"/>
      <c r="K43" s="12"/>
      <c r="L43" s="12"/>
      <c r="M43" s="5"/>
    </row>
    <row r="44" spans="3:17" x14ac:dyDescent="0.25">
      <c r="C44" s="4"/>
      <c r="D44" s="12"/>
      <c r="E44" s="12"/>
      <c r="F44" s="12"/>
      <c r="G44" s="12"/>
      <c r="H44" s="12"/>
      <c r="I44" s="12"/>
      <c r="J44" s="12"/>
      <c r="K44" s="12"/>
      <c r="L44" s="12"/>
      <c r="M44" s="5"/>
    </row>
    <row r="45" spans="3:17" x14ac:dyDescent="0.25">
      <c r="C45" s="4"/>
      <c r="D45" s="12"/>
      <c r="E45" s="12"/>
      <c r="F45" s="12"/>
      <c r="G45" s="12"/>
      <c r="H45" s="12"/>
      <c r="I45" s="12"/>
      <c r="J45" s="12"/>
      <c r="K45" s="12"/>
      <c r="L45" s="12"/>
      <c r="M45" s="5"/>
    </row>
    <row r="46" spans="3:17" x14ac:dyDescent="0.25">
      <c r="C46" s="4"/>
      <c r="D46" s="12"/>
      <c r="E46" s="12"/>
      <c r="F46" s="12"/>
      <c r="G46" s="12"/>
      <c r="H46" s="12"/>
      <c r="I46" s="12"/>
      <c r="J46" s="12"/>
      <c r="K46" s="12"/>
      <c r="L46" s="12"/>
      <c r="M46" s="5"/>
    </row>
    <row r="47" spans="3:17" x14ac:dyDescent="0.25">
      <c r="C47" s="4"/>
      <c r="D47" s="12"/>
      <c r="E47" s="12"/>
      <c r="F47" s="12"/>
      <c r="G47" s="12"/>
      <c r="H47" s="12"/>
      <c r="I47" s="12"/>
      <c r="J47" s="12"/>
      <c r="K47" s="12"/>
      <c r="L47" s="12"/>
      <c r="M47" s="5"/>
    </row>
    <row r="48" spans="3:17" x14ac:dyDescent="0.25">
      <c r="C48" s="4"/>
      <c r="D48" s="12"/>
      <c r="E48" s="12"/>
      <c r="F48" s="12"/>
      <c r="G48" s="12"/>
      <c r="H48" s="12"/>
      <c r="I48" s="12"/>
      <c r="J48" s="12"/>
      <c r="K48" s="12"/>
      <c r="L48" s="12"/>
      <c r="M48" s="5"/>
    </row>
    <row r="49" spans="3:13" x14ac:dyDescent="0.25">
      <c r="C49" s="4"/>
      <c r="D49" s="12"/>
      <c r="E49" s="12"/>
      <c r="F49" s="12"/>
      <c r="G49" s="12"/>
      <c r="H49" s="12"/>
      <c r="I49" s="12"/>
      <c r="J49" s="12"/>
      <c r="K49" s="12"/>
      <c r="L49" s="12"/>
      <c r="M49" s="5"/>
    </row>
    <row r="50" spans="3:13" x14ac:dyDescent="0.25">
      <c r="C50" s="4"/>
      <c r="D50" s="12"/>
      <c r="E50" s="12"/>
      <c r="F50" s="12"/>
      <c r="G50" s="12"/>
      <c r="H50" s="12"/>
      <c r="I50" s="12"/>
      <c r="J50" s="12"/>
      <c r="K50" s="12"/>
      <c r="L50" s="12"/>
      <c r="M50" s="5"/>
    </row>
    <row r="51" spans="3:13" x14ac:dyDescent="0.25">
      <c r="C51" s="4"/>
      <c r="D51" s="12"/>
      <c r="E51" s="12"/>
      <c r="F51" s="12"/>
      <c r="G51" s="12"/>
      <c r="H51" s="12"/>
      <c r="I51" s="12"/>
      <c r="J51" s="12"/>
      <c r="K51" s="12"/>
      <c r="L51" s="12"/>
      <c r="M51" s="5"/>
    </row>
    <row r="52" spans="3:13" x14ac:dyDescent="0.25">
      <c r="C52" s="4"/>
      <c r="D52" s="12"/>
      <c r="E52" s="12"/>
      <c r="F52" s="12"/>
      <c r="G52" s="12"/>
      <c r="H52" s="12"/>
      <c r="I52" s="12"/>
      <c r="J52" s="12"/>
      <c r="K52" s="12"/>
      <c r="L52" s="12"/>
      <c r="M52" s="5"/>
    </row>
    <row r="53" spans="3:13" x14ac:dyDescent="0.25">
      <c r="C53" s="4"/>
      <c r="D53" s="12"/>
      <c r="E53" s="12"/>
      <c r="F53" s="12"/>
      <c r="G53" s="12"/>
      <c r="H53" s="12"/>
      <c r="I53" s="12"/>
      <c r="J53" s="12"/>
      <c r="K53" s="12"/>
      <c r="L53" s="12"/>
      <c r="M53" s="5"/>
    </row>
    <row r="54" spans="3:13" x14ac:dyDescent="0.25">
      <c r="C54" s="4"/>
      <c r="D54" s="12"/>
      <c r="E54" s="12"/>
      <c r="F54" s="12"/>
      <c r="G54" s="12"/>
      <c r="H54" s="12"/>
      <c r="I54" s="12"/>
      <c r="J54" s="12"/>
      <c r="K54" s="12"/>
      <c r="L54" s="12"/>
      <c r="M54" s="5"/>
    </row>
    <row r="55" spans="3:13" x14ac:dyDescent="0.25">
      <c r="C55" s="4"/>
      <c r="D55" s="12"/>
      <c r="E55" s="12"/>
      <c r="F55" s="12"/>
      <c r="G55" s="12"/>
      <c r="H55" s="12"/>
      <c r="I55" s="12"/>
      <c r="J55" s="12"/>
      <c r="K55" s="12"/>
      <c r="L55" s="12"/>
      <c r="M55" s="5"/>
    </row>
    <row r="56" spans="3:13" x14ac:dyDescent="0.25">
      <c r="C56" s="4"/>
      <c r="D56" s="12"/>
      <c r="E56" s="12"/>
      <c r="F56" s="12"/>
      <c r="G56" s="12"/>
      <c r="H56" s="12"/>
      <c r="I56" s="12"/>
      <c r="J56" s="12"/>
      <c r="K56" s="12"/>
      <c r="L56" s="12"/>
      <c r="M56" s="5"/>
    </row>
    <row r="57" spans="3:13" x14ac:dyDescent="0.25">
      <c r="C57" s="4"/>
      <c r="D57" s="12"/>
      <c r="E57" s="12"/>
      <c r="F57" s="12"/>
      <c r="G57" s="12"/>
      <c r="H57" s="12"/>
      <c r="I57" s="12"/>
      <c r="J57" s="12"/>
      <c r="K57" s="12"/>
      <c r="L57" s="12"/>
      <c r="M57" s="5"/>
    </row>
    <row r="58" spans="3:13" x14ac:dyDescent="0.25">
      <c r="C58" s="4"/>
      <c r="D58" s="12"/>
      <c r="E58" s="12"/>
      <c r="F58" s="12"/>
      <c r="G58" s="12"/>
      <c r="H58" s="12"/>
      <c r="I58" s="12"/>
      <c r="J58" s="12"/>
      <c r="K58" s="12"/>
      <c r="L58" s="12"/>
      <c r="M58" s="5"/>
    </row>
    <row r="59" spans="3:13" x14ac:dyDescent="0.25">
      <c r="C59" s="4"/>
      <c r="D59" s="12"/>
      <c r="E59" s="12"/>
      <c r="F59" s="12"/>
      <c r="G59" s="12"/>
      <c r="H59" s="12"/>
      <c r="I59" s="12"/>
      <c r="J59" s="12"/>
      <c r="K59" s="12"/>
      <c r="L59" s="12"/>
      <c r="M59" s="5"/>
    </row>
    <row r="60" spans="3:13" x14ac:dyDescent="0.25">
      <c r="C60" s="4"/>
      <c r="D60" s="12"/>
      <c r="E60" s="12"/>
      <c r="F60" s="12"/>
      <c r="G60" s="12"/>
      <c r="H60" s="12"/>
      <c r="I60" s="12"/>
      <c r="J60" s="12"/>
      <c r="K60" s="12"/>
      <c r="L60" s="12"/>
      <c r="M60" s="5"/>
    </row>
    <row r="61" spans="3:13" x14ac:dyDescent="0.25">
      <c r="C61" s="4"/>
      <c r="D61" s="12"/>
      <c r="E61" s="12"/>
      <c r="F61" s="12"/>
      <c r="G61" s="12"/>
      <c r="H61" s="12"/>
      <c r="I61" s="12"/>
      <c r="J61" s="12"/>
      <c r="K61" s="12"/>
      <c r="L61" s="12"/>
      <c r="M61" s="5"/>
    </row>
    <row r="62" spans="3:13" x14ac:dyDescent="0.25">
      <c r="C62" s="4"/>
      <c r="D62" s="12"/>
      <c r="E62" s="12"/>
      <c r="F62" s="12"/>
      <c r="G62" s="12"/>
      <c r="H62" s="12"/>
      <c r="I62" s="12"/>
      <c r="J62" s="12"/>
      <c r="K62" s="12"/>
      <c r="L62" s="12"/>
      <c r="M62" s="5"/>
    </row>
    <row r="63" spans="3:13" x14ac:dyDescent="0.25">
      <c r="C63" s="4"/>
      <c r="D63" s="12"/>
      <c r="E63" s="12"/>
      <c r="F63" s="12"/>
      <c r="G63" s="12"/>
      <c r="H63" s="12"/>
      <c r="I63" s="12"/>
      <c r="J63" s="12"/>
      <c r="K63" s="12"/>
      <c r="L63" s="12"/>
      <c r="M63" s="5"/>
    </row>
    <row r="64" spans="3:13" x14ac:dyDescent="0.25">
      <c r="C64" s="4"/>
      <c r="D64" s="12"/>
      <c r="E64" s="12"/>
      <c r="F64" s="12"/>
      <c r="G64" s="12"/>
      <c r="H64" s="12"/>
      <c r="I64" s="12"/>
      <c r="J64" s="12"/>
      <c r="K64" s="12"/>
      <c r="L64" s="12"/>
      <c r="M64" s="5"/>
    </row>
    <row r="65" spans="3:13" x14ac:dyDescent="0.25">
      <c r="C65" s="4"/>
      <c r="D65" s="12"/>
      <c r="E65" s="12"/>
      <c r="F65" s="12"/>
      <c r="G65" s="12"/>
      <c r="H65" s="12"/>
      <c r="I65" s="12"/>
      <c r="J65" s="12"/>
      <c r="K65" s="12"/>
      <c r="L65" s="12"/>
      <c r="M65" s="5"/>
    </row>
    <row r="66" spans="3:13" x14ac:dyDescent="0.25">
      <c r="C66" s="4"/>
      <c r="D66" s="12"/>
      <c r="E66" s="12"/>
      <c r="F66" s="12"/>
      <c r="G66" s="12"/>
      <c r="H66" s="12"/>
      <c r="I66" s="12"/>
      <c r="J66" s="12"/>
      <c r="K66" s="12"/>
      <c r="L66" s="12"/>
      <c r="M66" s="5"/>
    </row>
    <row r="67" spans="3:13" x14ac:dyDescent="0.25">
      <c r="C67" s="4"/>
      <c r="D67" s="12"/>
      <c r="E67" s="12"/>
      <c r="F67" s="12"/>
      <c r="G67" s="12"/>
      <c r="H67" s="12"/>
      <c r="I67" s="12"/>
      <c r="J67" s="12"/>
      <c r="K67" s="12"/>
      <c r="L67" s="12"/>
      <c r="M67" s="5"/>
    </row>
    <row r="68" spans="3:13" x14ac:dyDescent="0.25">
      <c r="C68" s="4"/>
      <c r="D68" s="12"/>
      <c r="E68" s="12"/>
      <c r="F68" s="12"/>
      <c r="G68" s="12"/>
      <c r="H68" s="12"/>
      <c r="I68" s="12"/>
      <c r="J68" s="12"/>
      <c r="K68" s="12"/>
      <c r="L68" s="12"/>
      <c r="M68" s="5"/>
    </row>
    <row r="69" spans="3:13" x14ac:dyDescent="0.25">
      <c r="C69" s="4"/>
      <c r="D69" s="12"/>
      <c r="E69" s="12"/>
      <c r="F69" s="12"/>
      <c r="G69" s="12"/>
      <c r="H69" s="12"/>
      <c r="I69" s="12"/>
      <c r="J69" s="12"/>
      <c r="K69" s="12"/>
      <c r="L69" s="12"/>
      <c r="M69" s="5"/>
    </row>
    <row r="70" spans="3:13" x14ac:dyDescent="0.25">
      <c r="C70" s="4"/>
      <c r="D70" s="12"/>
      <c r="E70" s="12"/>
      <c r="F70" s="12"/>
      <c r="G70" s="12"/>
      <c r="H70" s="12"/>
      <c r="I70" s="12"/>
      <c r="J70" s="12"/>
      <c r="K70" s="12"/>
      <c r="L70" s="12"/>
      <c r="M70" s="5"/>
    </row>
    <row r="71" spans="3:13" x14ac:dyDescent="0.25">
      <c r="C71" s="4"/>
      <c r="D71" s="12"/>
      <c r="E71" s="12"/>
      <c r="F71" s="12"/>
      <c r="G71" s="12"/>
      <c r="H71" s="12"/>
      <c r="I71" s="12"/>
      <c r="J71" s="12"/>
      <c r="K71" s="12"/>
      <c r="L71" s="12"/>
      <c r="M71" s="5"/>
    </row>
    <row r="72" spans="3:13" x14ac:dyDescent="0.25">
      <c r="C72" s="4"/>
      <c r="D72" s="12"/>
      <c r="E72" s="12"/>
      <c r="F72" s="12"/>
      <c r="G72" s="12"/>
      <c r="H72" s="12"/>
      <c r="I72" s="12"/>
      <c r="J72" s="12"/>
      <c r="K72" s="12"/>
      <c r="L72" s="12"/>
      <c r="M72" s="5"/>
    </row>
    <row r="73" spans="3:13" x14ac:dyDescent="0.25">
      <c r="C73" s="7"/>
      <c r="D73" s="8"/>
      <c r="E73" s="8"/>
      <c r="F73" s="8"/>
      <c r="G73" s="8"/>
      <c r="H73" s="8"/>
      <c r="I73" s="8"/>
      <c r="J73" s="8"/>
      <c r="K73" s="8"/>
      <c r="L73" s="8"/>
      <c r="M73" s="9"/>
    </row>
    <row r="78" spans="3:13" x14ac:dyDescent="0.25">
      <c r="D78" t="s">
        <v>1158</v>
      </c>
    </row>
    <row r="79" spans="3:13" x14ac:dyDescent="0.25">
      <c r="D79" t="s">
        <v>667</v>
      </c>
    </row>
    <row r="94" spans="21:23" x14ac:dyDescent="0.25">
      <c r="V94" t="s">
        <v>671</v>
      </c>
    </row>
    <row r="95" spans="21:23" x14ac:dyDescent="0.25">
      <c r="U95" t="s">
        <v>336</v>
      </c>
      <c r="V95">
        <v>1072</v>
      </c>
      <c r="W95" t="s">
        <v>429</v>
      </c>
    </row>
    <row r="96" spans="21:23" x14ac:dyDescent="0.25">
      <c r="U96" t="s">
        <v>672</v>
      </c>
      <c r="V96">
        <v>1406</v>
      </c>
    </row>
    <row r="124" spans="3:3" x14ac:dyDescent="0.25">
      <c r="C124" t="s">
        <v>668</v>
      </c>
    </row>
  </sheetData>
  <hyperlinks>
    <hyperlink ref="Y5" r:id="rId1" xr:uid="{533B1B62-FE78-4C6A-A8B8-3F32BDCAEEDE}"/>
  </hyperlinks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U47"/>
  <sheetViews>
    <sheetView workbookViewId="0"/>
  </sheetViews>
  <sheetFormatPr defaultColWidth="9.140625" defaultRowHeight="12.75" x14ac:dyDescent="0.2"/>
  <cols>
    <col min="1" max="5" width="9.7109375" style="14" customWidth="1"/>
    <col min="6" max="6" width="13.7109375" style="14" customWidth="1"/>
    <col min="7" max="7" width="9.7109375" style="14" customWidth="1"/>
    <col min="8" max="8" width="11.7109375" style="14" customWidth="1"/>
    <col min="9" max="9" width="12.140625" style="14" customWidth="1"/>
    <col min="10" max="36" width="9.7109375" style="14" customWidth="1"/>
    <col min="37" max="16384" width="9.140625" style="14"/>
  </cols>
  <sheetData>
    <row r="1" spans="1:46" ht="15" x14ac:dyDescent="0.2">
      <c r="A1" s="151" t="s">
        <v>224</v>
      </c>
    </row>
    <row r="2" spans="1:46" x14ac:dyDescent="0.2">
      <c r="A2" s="14" t="s">
        <v>225</v>
      </c>
    </row>
    <row r="4" spans="1:46" ht="13.5" thickBot="1" x14ac:dyDescent="0.25">
      <c r="A4" s="14" t="s">
        <v>226</v>
      </c>
    </row>
    <row r="5" spans="1:46" x14ac:dyDescent="0.2">
      <c r="A5" s="702" t="s">
        <v>227</v>
      </c>
      <c r="B5" s="690" t="s">
        <v>228</v>
      </c>
      <c r="C5" s="691"/>
      <c r="D5" s="691"/>
      <c r="E5" s="697"/>
      <c r="F5" s="698" t="s">
        <v>229</v>
      </c>
      <c r="G5" s="691"/>
      <c r="H5" s="697"/>
      <c r="I5" s="691" t="s">
        <v>230</v>
      </c>
      <c r="J5" s="691"/>
      <c r="K5" s="691"/>
      <c r="L5" s="691"/>
      <c r="M5" s="691"/>
      <c r="N5" s="691"/>
      <c r="O5" s="691"/>
      <c r="P5" s="697"/>
      <c r="Q5" s="698" t="s">
        <v>231</v>
      </c>
      <c r="R5" s="691"/>
      <c r="S5" s="691"/>
      <c r="T5" s="691"/>
      <c r="U5" s="691"/>
      <c r="V5" s="691"/>
      <c r="W5" s="691"/>
      <c r="X5" s="697"/>
      <c r="Y5" s="691" t="s">
        <v>232</v>
      </c>
      <c r="Z5" s="691"/>
      <c r="AA5" s="691"/>
      <c r="AB5" s="692"/>
      <c r="AC5" s="690" t="s">
        <v>233</v>
      </c>
      <c r="AD5" s="691"/>
      <c r="AE5" s="691"/>
      <c r="AF5" s="691"/>
      <c r="AG5" s="152"/>
      <c r="AH5" s="152"/>
      <c r="AI5" s="153" t="s">
        <v>234</v>
      </c>
      <c r="AJ5" s="692" t="s">
        <v>235</v>
      </c>
      <c r="AK5" s="693"/>
      <c r="AL5" s="693"/>
      <c r="AM5" s="693"/>
      <c r="AN5" s="693"/>
      <c r="AO5" s="693"/>
      <c r="AP5" s="693"/>
      <c r="AQ5" s="693"/>
      <c r="AR5" s="693"/>
      <c r="AS5" s="693"/>
      <c r="AT5" s="694"/>
    </row>
    <row r="6" spans="1:46" s="166" customFormat="1" ht="26.25" customHeight="1" x14ac:dyDescent="0.2">
      <c r="A6" s="703"/>
      <c r="B6" s="154" t="s">
        <v>6</v>
      </c>
      <c r="C6" s="155" t="s">
        <v>236</v>
      </c>
      <c r="D6" s="154" t="s">
        <v>237</v>
      </c>
      <c r="E6" s="156" t="s">
        <v>238</v>
      </c>
      <c r="F6" s="157" t="s">
        <v>239</v>
      </c>
      <c r="G6" s="154" t="s">
        <v>240</v>
      </c>
      <c r="H6" s="158" t="s">
        <v>241</v>
      </c>
      <c r="I6" s="159" t="s">
        <v>6</v>
      </c>
      <c r="J6" s="160" t="s">
        <v>236</v>
      </c>
      <c r="K6" s="154" t="s">
        <v>242</v>
      </c>
      <c r="L6" s="154" t="s">
        <v>139</v>
      </c>
      <c r="M6" s="154" t="s">
        <v>238</v>
      </c>
      <c r="N6" s="154" t="s">
        <v>237</v>
      </c>
      <c r="O6" s="154" t="s">
        <v>243</v>
      </c>
      <c r="P6" s="161" t="s">
        <v>244</v>
      </c>
      <c r="Q6" s="157" t="s">
        <v>6</v>
      </c>
      <c r="R6" s="155" t="s">
        <v>236</v>
      </c>
      <c r="S6" s="154" t="s">
        <v>245</v>
      </c>
      <c r="T6" s="154" t="s">
        <v>246</v>
      </c>
      <c r="U6" s="154" t="s">
        <v>238</v>
      </c>
      <c r="V6" s="154" t="s">
        <v>237</v>
      </c>
      <c r="W6" s="154" t="s">
        <v>243</v>
      </c>
      <c r="X6" s="159" t="s">
        <v>244</v>
      </c>
      <c r="Y6" s="162" t="s">
        <v>247</v>
      </c>
      <c r="Z6" s="155" t="s">
        <v>13</v>
      </c>
      <c r="AA6" s="154" t="s">
        <v>248</v>
      </c>
      <c r="AB6" s="154" t="s">
        <v>249</v>
      </c>
      <c r="AC6" s="695" t="s">
        <v>250</v>
      </c>
      <c r="AD6" s="696"/>
      <c r="AE6" s="155" t="s">
        <v>251</v>
      </c>
      <c r="AF6" s="163" t="s">
        <v>252</v>
      </c>
      <c r="AG6" s="164" t="s">
        <v>253</v>
      </c>
      <c r="AH6" s="156" t="s">
        <v>254</v>
      </c>
      <c r="AI6" s="165" t="s">
        <v>234</v>
      </c>
      <c r="AJ6" s="162" t="s">
        <v>255</v>
      </c>
      <c r="AK6" s="154" t="s">
        <v>256</v>
      </c>
      <c r="AL6" s="154" t="s">
        <v>257</v>
      </c>
      <c r="AM6" s="154" t="s">
        <v>14</v>
      </c>
      <c r="AN6" s="154" t="s">
        <v>258</v>
      </c>
      <c r="AO6" s="154" t="s">
        <v>259</v>
      </c>
      <c r="AP6" s="154" t="s">
        <v>260</v>
      </c>
      <c r="AQ6" s="154" t="s">
        <v>261</v>
      </c>
      <c r="AR6" s="154" t="s">
        <v>262</v>
      </c>
      <c r="AS6" s="154" t="s">
        <v>3</v>
      </c>
      <c r="AT6" s="156" t="s">
        <v>263</v>
      </c>
    </row>
    <row r="7" spans="1:46" x14ac:dyDescent="0.2">
      <c r="A7" s="704"/>
      <c r="B7" s="167" t="s">
        <v>264</v>
      </c>
      <c r="C7" s="167" t="s">
        <v>264</v>
      </c>
      <c r="D7" s="167" t="s">
        <v>265</v>
      </c>
      <c r="E7" s="168" t="s">
        <v>264</v>
      </c>
      <c r="F7" s="169"/>
      <c r="G7" s="167"/>
      <c r="H7" s="168"/>
      <c r="I7" s="170" t="s">
        <v>264</v>
      </c>
      <c r="J7" s="171" t="s">
        <v>264</v>
      </c>
      <c r="K7" s="167" t="s">
        <v>264</v>
      </c>
      <c r="L7" s="167" t="s">
        <v>264</v>
      </c>
      <c r="M7" s="167" t="s">
        <v>264</v>
      </c>
      <c r="N7" s="167" t="s">
        <v>266</v>
      </c>
      <c r="O7" s="167" t="s">
        <v>267</v>
      </c>
      <c r="P7" s="172" t="s">
        <v>268</v>
      </c>
      <c r="Q7" s="169" t="s">
        <v>264</v>
      </c>
      <c r="R7" s="167" t="s">
        <v>264</v>
      </c>
      <c r="S7" s="167" t="s">
        <v>264</v>
      </c>
      <c r="T7" s="167" t="s">
        <v>264</v>
      </c>
      <c r="U7" s="167" t="s">
        <v>264</v>
      </c>
      <c r="V7" s="167" t="s">
        <v>266</v>
      </c>
      <c r="W7" s="167" t="s">
        <v>267</v>
      </c>
      <c r="X7" s="170" t="s">
        <v>268</v>
      </c>
      <c r="Y7" s="171" t="s">
        <v>269</v>
      </c>
      <c r="Z7" s="167" t="s">
        <v>269</v>
      </c>
      <c r="AA7" s="167" t="s">
        <v>269</v>
      </c>
      <c r="AB7" s="167" t="s">
        <v>269</v>
      </c>
      <c r="AC7" s="167" t="s">
        <v>270</v>
      </c>
      <c r="AD7" s="167" t="s">
        <v>271</v>
      </c>
      <c r="AE7" s="167" t="s">
        <v>271</v>
      </c>
      <c r="AF7" s="173" t="s">
        <v>271</v>
      </c>
      <c r="AG7" s="174" t="s">
        <v>272</v>
      </c>
      <c r="AH7" s="175" t="s">
        <v>273</v>
      </c>
      <c r="AI7" s="176" t="s">
        <v>274</v>
      </c>
      <c r="AJ7" s="171" t="s">
        <v>275</v>
      </c>
      <c r="AK7" s="167" t="s">
        <v>275</v>
      </c>
      <c r="AL7" s="167" t="s">
        <v>275</v>
      </c>
      <c r="AM7" s="167" t="s">
        <v>275</v>
      </c>
      <c r="AN7" s="167" t="s">
        <v>275</v>
      </c>
      <c r="AO7" s="167" t="s">
        <v>275</v>
      </c>
      <c r="AP7" s="167" t="s">
        <v>275</v>
      </c>
      <c r="AQ7" s="167" t="s">
        <v>275</v>
      </c>
      <c r="AR7" s="167" t="s">
        <v>275</v>
      </c>
      <c r="AS7" s="167" t="s">
        <v>275</v>
      </c>
      <c r="AT7" s="175" t="s">
        <v>276</v>
      </c>
    </row>
    <row r="8" spans="1:46" x14ac:dyDescent="0.2">
      <c r="A8" s="177">
        <v>2006</v>
      </c>
      <c r="B8" s="178">
        <f t="shared" ref="B8:B14" si="0">C8/D8</f>
        <v>7998.8662131519277</v>
      </c>
      <c r="C8" s="179">
        <v>7055</v>
      </c>
      <c r="D8" s="180">
        <v>0.88200000000000001</v>
      </c>
      <c r="E8" s="181">
        <v>6194</v>
      </c>
      <c r="F8" s="182">
        <v>4400</v>
      </c>
      <c r="G8" s="183">
        <v>11</v>
      </c>
      <c r="H8" s="184">
        <v>1783</v>
      </c>
      <c r="I8" s="185"/>
      <c r="J8" s="186">
        <v>4863</v>
      </c>
      <c r="K8" s="187"/>
      <c r="L8" s="187"/>
      <c r="M8" s="178">
        <v>4268</v>
      </c>
      <c r="N8" s="178"/>
      <c r="O8" s="178">
        <v>4487</v>
      </c>
      <c r="P8" s="188">
        <f t="shared" ref="P8:P18" si="1">O8/J8*1000</f>
        <v>922.68147234217554</v>
      </c>
      <c r="Q8" s="189"/>
      <c r="R8" s="179">
        <v>2192</v>
      </c>
      <c r="S8" s="187"/>
      <c r="T8" s="187"/>
      <c r="U8" s="178">
        <v>1926</v>
      </c>
      <c r="V8" s="178"/>
      <c r="W8" s="178">
        <v>2281</v>
      </c>
      <c r="X8" s="185">
        <f>W8/R8*1000</f>
        <v>1040.6021897810217</v>
      </c>
      <c r="Y8" s="190"/>
      <c r="Z8" s="191"/>
      <c r="AA8" s="178"/>
      <c r="AB8" s="178"/>
      <c r="AC8" s="179"/>
      <c r="AD8" s="178"/>
      <c r="AE8" s="191"/>
      <c r="AF8" s="192"/>
      <c r="AG8" s="193"/>
      <c r="AH8" s="194"/>
      <c r="AI8" s="195"/>
      <c r="AJ8" s="190"/>
      <c r="AK8" s="178"/>
      <c r="AL8" s="191"/>
      <c r="AM8" s="191"/>
      <c r="AN8" s="191"/>
      <c r="AO8" s="178"/>
      <c r="AP8" s="178"/>
      <c r="AQ8" s="178"/>
      <c r="AR8" s="178"/>
      <c r="AS8" s="178">
        <f t="shared" ref="AS8:AS16" si="2">SUM(AJ8:AQ8)</f>
        <v>0</v>
      </c>
      <c r="AT8" s="196" t="e">
        <f t="shared" ref="AT8:AT14" si="3">SUM(AL8:AN8)/AS8</f>
        <v>#DIV/0!</v>
      </c>
    </row>
    <row r="9" spans="1:46" x14ac:dyDescent="0.2">
      <c r="A9" s="177">
        <v>2007</v>
      </c>
      <c r="B9" s="178">
        <f t="shared" si="0"/>
        <v>7277.3972602739723</v>
      </c>
      <c r="C9" s="179">
        <v>6375</v>
      </c>
      <c r="D9" s="180">
        <v>0.876</v>
      </c>
      <c r="E9" s="181">
        <v>5829</v>
      </c>
      <c r="F9" s="182">
        <v>4421</v>
      </c>
      <c r="G9" s="183">
        <v>11</v>
      </c>
      <c r="H9" s="184">
        <v>1397</v>
      </c>
      <c r="I9" s="185"/>
      <c r="J9" s="186">
        <v>4231</v>
      </c>
      <c r="K9" s="187"/>
      <c r="L9" s="187"/>
      <c r="M9" s="178">
        <v>3928</v>
      </c>
      <c r="N9" s="178"/>
      <c r="O9" s="178">
        <v>5265</v>
      </c>
      <c r="P9" s="188">
        <f t="shared" si="1"/>
        <v>1244.38666981801</v>
      </c>
      <c r="Q9" s="189"/>
      <c r="R9" s="179">
        <v>2144</v>
      </c>
      <c r="S9" s="187"/>
      <c r="T9" s="187"/>
      <c r="U9" s="178">
        <v>1901</v>
      </c>
      <c r="V9" s="178"/>
      <c r="W9" s="178">
        <v>2847</v>
      </c>
      <c r="X9" s="185">
        <f t="shared" ref="X9:X18" si="4">W9/R9*1000</f>
        <v>1327.891791044776</v>
      </c>
      <c r="Y9" s="190"/>
      <c r="Z9" s="191"/>
      <c r="AA9" s="178"/>
      <c r="AB9" s="178"/>
      <c r="AC9" s="179"/>
      <c r="AD9" s="178"/>
      <c r="AE9" s="191"/>
      <c r="AF9" s="192"/>
      <c r="AG9" s="193"/>
      <c r="AH9" s="194"/>
      <c r="AI9" s="195"/>
      <c r="AJ9" s="190"/>
      <c r="AK9" s="178"/>
      <c r="AL9" s="191"/>
      <c r="AM9" s="191"/>
      <c r="AN9" s="191"/>
      <c r="AO9" s="178"/>
      <c r="AP9" s="178"/>
      <c r="AQ9" s="178"/>
      <c r="AR9" s="178"/>
      <c r="AS9" s="178">
        <f t="shared" si="2"/>
        <v>0</v>
      </c>
      <c r="AT9" s="196" t="e">
        <f t="shared" si="3"/>
        <v>#DIV/0!</v>
      </c>
    </row>
    <row r="10" spans="1:46" x14ac:dyDescent="0.2">
      <c r="A10" s="177">
        <v>2008</v>
      </c>
      <c r="B10" s="178">
        <f t="shared" si="0"/>
        <v>7281.2105926860022</v>
      </c>
      <c r="C10" s="179">
        <v>5774</v>
      </c>
      <c r="D10" s="180">
        <v>0.79300000000000004</v>
      </c>
      <c r="E10" s="181">
        <v>5089</v>
      </c>
      <c r="F10" s="182">
        <v>4375</v>
      </c>
      <c r="G10" s="183">
        <v>10</v>
      </c>
      <c r="H10" s="184">
        <v>704</v>
      </c>
      <c r="I10" s="185"/>
      <c r="J10" s="186">
        <v>4084</v>
      </c>
      <c r="K10" s="187"/>
      <c r="L10" s="187"/>
      <c r="M10" s="178">
        <v>3412</v>
      </c>
      <c r="N10" s="178"/>
      <c r="O10" s="178">
        <v>8112</v>
      </c>
      <c r="P10" s="188">
        <f t="shared" si="1"/>
        <v>1986.2879529872675</v>
      </c>
      <c r="Q10" s="189"/>
      <c r="R10" s="179">
        <v>1690</v>
      </c>
      <c r="S10" s="187"/>
      <c r="T10" s="187"/>
      <c r="U10" s="178">
        <v>1677</v>
      </c>
      <c r="V10" s="178"/>
      <c r="W10" s="178">
        <v>3993</v>
      </c>
      <c r="X10" s="185">
        <f t="shared" si="4"/>
        <v>2362.7218934911243</v>
      </c>
      <c r="Y10" s="190"/>
      <c r="Z10" s="191"/>
      <c r="AA10" s="178"/>
      <c r="AB10" s="178"/>
      <c r="AC10" s="179"/>
      <c r="AD10" s="178"/>
      <c r="AE10" s="191"/>
      <c r="AF10" s="192"/>
      <c r="AG10" s="193"/>
      <c r="AH10" s="194"/>
      <c r="AI10" s="195"/>
      <c r="AJ10" s="190"/>
      <c r="AK10" s="178"/>
      <c r="AL10" s="191"/>
      <c r="AM10" s="191"/>
      <c r="AN10" s="191"/>
      <c r="AO10" s="178"/>
      <c r="AP10" s="178"/>
      <c r="AQ10" s="178"/>
      <c r="AR10" s="178"/>
      <c r="AS10" s="178">
        <f t="shared" si="2"/>
        <v>0</v>
      </c>
      <c r="AT10" s="196" t="e">
        <f t="shared" si="3"/>
        <v>#DIV/0!</v>
      </c>
    </row>
    <row r="11" spans="1:46" x14ac:dyDescent="0.2">
      <c r="A11" s="177">
        <v>2009</v>
      </c>
      <c r="B11" s="178">
        <f t="shared" si="0"/>
        <v>7279.8353909465022</v>
      </c>
      <c r="C11" s="179">
        <v>5307</v>
      </c>
      <c r="D11" s="180">
        <v>0.72899999999999998</v>
      </c>
      <c r="E11" s="181">
        <v>4473</v>
      </c>
      <c r="F11" s="182">
        <v>3072</v>
      </c>
      <c r="G11" s="183">
        <v>20</v>
      </c>
      <c r="H11" s="184">
        <v>1381</v>
      </c>
      <c r="I11" s="185"/>
      <c r="J11" s="186">
        <v>3428</v>
      </c>
      <c r="K11" s="187"/>
      <c r="L11" s="187"/>
      <c r="M11" s="178">
        <v>2858</v>
      </c>
      <c r="N11" s="178"/>
      <c r="O11" s="178">
        <v>381</v>
      </c>
      <c r="P11" s="188">
        <f t="shared" si="1"/>
        <v>111.14352392065344</v>
      </c>
      <c r="Q11" s="189"/>
      <c r="R11" s="179">
        <v>1879</v>
      </c>
      <c r="S11" s="187"/>
      <c r="T11" s="187"/>
      <c r="U11" s="178">
        <v>1615</v>
      </c>
      <c r="V11" s="178"/>
      <c r="W11" s="178">
        <v>591</v>
      </c>
      <c r="X11" s="185">
        <f t="shared" si="4"/>
        <v>314.52900478978182</v>
      </c>
      <c r="Y11" s="190">
        <v>7459417</v>
      </c>
      <c r="Z11" s="191">
        <v>3685385</v>
      </c>
      <c r="AA11" s="178">
        <v>1067658</v>
      </c>
      <c r="AB11" s="178">
        <f>553025+506615</f>
        <v>1059640</v>
      </c>
      <c r="AC11" s="179">
        <v>115</v>
      </c>
      <c r="AD11" s="178">
        <f t="shared" ref="AD11:AD17" si="5">AC11/0.0036</f>
        <v>31944.444444444445</v>
      </c>
      <c r="AE11" s="191">
        <v>4200</v>
      </c>
      <c r="AF11" s="192"/>
      <c r="AG11" s="193">
        <f t="shared" ref="AG11:AG18" si="6">AC11/C11*1000</f>
        <v>21.669493122291314</v>
      </c>
      <c r="AH11" s="194">
        <f t="shared" ref="AH11:AH18" si="7">AE11/C11</f>
        <v>0.79140757490107405</v>
      </c>
      <c r="AI11" s="195"/>
      <c r="AJ11" s="190"/>
      <c r="AK11" s="178"/>
      <c r="AL11" s="191"/>
      <c r="AM11" s="191"/>
      <c r="AN11" s="191"/>
      <c r="AO11" s="178"/>
      <c r="AP11" s="178"/>
      <c r="AQ11" s="178"/>
      <c r="AR11" s="178"/>
      <c r="AS11" s="178">
        <f t="shared" si="2"/>
        <v>0</v>
      </c>
      <c r="AT11" s="196" t="e">
        <f t="shared" si="3"/>
        <v>#DIV/0!</v>
      </c>
    </row>
    <row r="12" spans="1:46" x14ac:dyDescent="0.2">
      <c r="A12" s="177">
        <v>2010</v>
      </c>
      <c r="B12" s="178">
        <f t="shared" si="0"/>
        <v>7274.3589743589737</v>
      </c>
      <c r="C12" s="179">
        <v>5674</v>
      </c>
      <c r="D12" s="180">
        <v>0.78</v>
      </c>
      <c r="E12" s="181">
        <v>5041</v>
      </c>
      <c r="F12" s="182">
        <v>3414</v>
      </c>
      <c r="G12" s="183">
        <v>47</v>
      </c>
      <c r="H12" s="184">
        <v>1580</v>
      </c>
      <c r="I12" s="185"/>
      <c r="J12" s="186">
        <v>3814</v>
      </c>
      <c r="K12" s="187"/>
      <c r="L12" s="187"/>
      <c r="M12" s="178">
        <v>3348</v>
      </c>
      <c r="N12" s="178"/>
      <c r="O12" s="178">
        <v>1442</v>
      </c>
      <c r="P12" s="188">
        <f t="shared" si="1"/>
        <v>378.08075511274251</v>
      </c>
      <c r="Q12" s="189"/>
      <c r="R12" s="179">
        <v>1860</v>
      </c>
      <c r="S12" s="187"/>
      <c r="T12" s="187"/>
      <c r="U12" s="178">
        <v>1693</v>
      </c>
      <c r="V12" s="178"/>
      <c r="W12" s="178">
        <v>1090</v>
      </c>
      <c r="X12" s="185">
        <f t="shared" si="4"/>
        <v>586.02150537634407</v>
      </c>
      <c r="Y12" s="190">
        <v>8343622</v>
      </c>
      <c r="Z12" s="191">
        <v>4418984</v>
      </c>
      <c r="AA12" s="178">
        <v>1090715</v>
      </c>
      <c r="AB12" s="178">
        <f>573095+455143</f>
        <v>1028238</v>
      </c>
      <c r="AC12" s="179">
        <v>130</v>
      </c>
      <c r="AD12" s="178">
        <f t="shared" si="5"/>
        <v>36111.111111111109</v>
      </c>
      <c r="AE12" s="191">
        <v>4310</v>
      </c>
      <c r="AF12" s="192"/>
      <c r="AG12" s="193">
        <f t="shared" si="6"/>
        <v>22.911526260133943</v>
      </c>
      <c r="AH12" s="194">
        <f t="shared" si="7"/>
        <v>0.75960521677828696</v>
      </c>
      <c r="AI12" s="195">
        <v>20554.392</v>
      </c>
      <c r="AJ12" s="190"/>
      <c r="AK12" s="178"/>
      <c r="AL12" s="191"/>
      <c r="AM12" s="191"/>
      <c r="AN12" s="191"/>
      <c r="AO12" s="178"/>
      <c r="AP12" s="178"/>
      <c r="AQ12" s="178"/>
      <c r="AR12" s="178"/>
      <c r="AS12" s="178">
        <f t="shared" si="2"/>
        <v>0</v>
      </c>
      <c r="AT12" s="196" t="e">
        <f t="shared" si="3"/>
        <v>#DIV/0!</v>
      </c>
    </row>
    <row r="13" spans="1:46" x14ac:dyDescent="0.2">
      <c r="A13" s="177">
        <v>2011</v>
      </c>
      <c r="B13" s="178">
        <f t="shared" si="0"/>
        <v>7270.666666666667</v>
      </c>
      <c r="C13" s="179">
        <v>5453</v>
      </c>
      <c r="D13" s="180">
        <v>0.75</v>
      </c>
      <c r="E13" s="181">
        <v>4708</v>
      </c>
      <c r="F13" s="182">
        <v>3507</v>
      </c>
      <c r="G13" s="183">
        <v>75</v>
      </c>
      <c r="H13" s="184">
        <v>1126</v>
      </c>
      <c r="I13" s="185">
        <v>5600</v>
      </c>
      <c r="J13" s="186">
        <v>4060</v>
      </c>
      <c r="K13" s="187"/>
      <c r="L13" s="187"/>
      <c r="M13" s="178">
        <v>3424</v>
      </c>
      <c r="N13" s="178"/>
      <c r="O13" s="178">
        <v>597</v>
      </c>
      <c r="P13" s="188">
        <f t="shared" si="1"/>
        <v>147.04433497536945</v>
      </c>
      <c r="Q13" s="189">
        <v>2300</v>
      </c>
      <c r="R13" s="179">
        <v>1393</v>
      </c>
      <c r="S13" s="187"/>
      <c r="T13" s="187"/>
      <c r="U13" s="178">
        <v>1284</v>
      </c>
      <c r="V13" s="178"/>
      <c r="W13" s="178">
        <v>500</v>
      </c>
      <c r="X13" s="185">
        <f t="shared" si="4"/>
        <v>358.93754486719308</v>
      </c>
      <c r="Y13" s="190">
        <v>6767817</v>
      </c>
      <c r="Z13" s="191">
        <v>3984744</v>
      </c>
      <c r="AA13" s="178">
        <v>1207658</v>
      </c>
      <c r="AB13" s="178">
        <f>521707+518691</f>
        <v>1040398</v>
      </c>
      <c r="AC13" s="179">
        <v>127</v>
      </c>
      <c r="AD13" s="178">
        <f t="shared" si="5"/>
        <v>35277.777777777781</v>
      </c>
      <c r="AE13" s="191">
        <v>4380</v>
      </c>
      <c r="AF13" s="192"/>
      <c r="AG13" s="193">
        <f t="shared" si="6"/>
        <v>23.289932147441778</v>
      </c>
      <c r="AH13" s="194">
        <f t="shared" si="7"/>
        <v>0.80322758114799198</v>
      </c>
      <c r="AI13" s="195">
        <v>20231.421999999999</v>
      </c>
      <c r="AJ13" s="190"/>
      <c r="AK13" s="178"/>
      <c r="AL13" s="191"/>
      <c r="AM13" s="191"/>
      <c r="AN13" s="191"/>
      <c r="AO13" s="178"/>
      <c r="AP13" s="178"/>
      <c r="AQ13" s="178"/>
      <c r="AR13" s="178"/>
      <c r="AS13" s="178">
        <f t="shared" si="2"/>
        <v>0</v>
      </c>
      <c r="AT13" s="196" t="e">
        <f t="shared" si="3"/>
        <v>#DIV/0!</v>
      </c>
    </row>
    <row r="14" spans="1:46" x14ac:dyDescent="0.2">
      <c r="A14" s="197">
        <v>2012</v>
      </c>
      <c r="B14" s="198">
        <f t="shared" si="0"/>
        <v>7271.4285714285716</v>
      </c>
      <c r="C14" s="199">
        <v>5090</v>
      </c>
      <c r="D14" s="200">
        <v>0.7</v>
      </c>
      <c r="E14" s="201">
        <v>4622</v>
      </c>
      <c r="F14" s="202">
        <v>3336</v>
      </c>
      <c r="G14" s="198">
        <v>167</v>
      </c>
      <c r="H14" s="203">
        <v>1119</v>
      </c>
      <c r="I14" s="204">
        <v>4300</v>
      </c>
      <c r="J14" s="205">
        <v>3554</v>
      </c>
      <c r="K14" s="198"/>
      <c r="L14" s="198"/>
      <c r="M14" s="198">
        <v>3138</v>
      </c>
      <c r="N14" s="198"/>
      <c r="O14" s="198">
        <v>-266</v>
      </c>
      <c r="P14" s="206">
        <f t="shared" si="1"/>
        <v>-74.845244794597647</v>
      </c>
      <c r="Q14" s="202">
        <v>2300</v>
      </c>
      <c r="R14" s="199">
        <v>1536</v>
      </c>
      <c r="S14" s="198"/>
      <c r="T14" s="198"/>
      <c r="U14" s="198">
        <v>1484</v>
      </c>
      <c r="V14" s="198"/>
      <c r="W14" s="198">
        <v>770</v>
      </c>
      <c r="X14" s="204">
        <f t="shared" si="4"/>
        <v>501.30208333333337</v>
      </c>
      <c r="Y14" s="207">
        <v>7036088</v>
      </c>
      <c r="Z14" s="198">
        <v>4512542</v>
      </c>
      <c r="AA14" s="198">
        <v>913927</v>
      </c>
      <c r="AB14" s="198">
        <f>499226+496345</f>
        <v>995571</v>
      </c>
      <c r="AC14" s="199">
        <v>123</v>
      </c>
      <c r="AD14" s="198">
        <f t="shared" si="5"/>
        <v>34166.666666666664</v>
      </c>
      <c r="AE14" s="198">
        <v>3920</v>
      </c>
      <c r="AF14" s="208"/>
      <c r="AG14" s="209">
        <f t="shared" si="6"/>
        <v>24.165029469548134</v>
      </c>
      <c r="AH14" s="210">
        <f t="shared" si="7"/>
        <v>0.77013752455795681</v>
      </c>
      <c r="AI14" s="211">
        <v>19805.401999999998</v>
      </c>
      <c r="AJ14" s="207"/>
      <c r="AK14" s="198"/>
      <c r="AL14" s="198"/>
      <c r="AM14" s="198"/>
      <c r="AN14" s="198"/>
      <c r="AO14" s="198"/>
      <c r="AP14" s="198"/>
      <c r="AQ14" s="198"/>
      <c r="AR14" s="198"/>
      <c r="AS14" s="198">
        <f t="shared" si="2"/>
        <v>0</v>
      </c>
      <c r="AT14" s="212" t="e">
        <f t="shared" si="3"/>
        <v>#DIV/0!</v>
      </c>
    </row>
    <row r="15" spans="1:46" x14ac:dyDescent="0.2">
      <c r="A15" s="177">
        <v>2013</v>
      </c>
      <c r="B15" s="178">
        <f>I15+Q15</f>
        <v>6600</v>
      </c>
      <c r="C15" s="179">
        <v>5096</v>
      </c>
      <c r="D15" s="180">
        <f>C15/B15</f>
        <v>0.7721212121212121</v>
      </c>
      <c r="E15" s="181">
        <v>4230</v>
      </c>
      <c r="F15" s="182">
        <v>3126</v>
      </c>
      <c r="G15" s="183">
        <v>257</v>
      </c>
      <c r="H15" s="184">
        <v>847</v>
      </c>
      <c r="I15" s="185">
        <v>4300</v>
      </c>
      <c r="J15" s="186">
        <v>3229</v>
      </c>
      <c r="K15" s="187">
        <v>2100</v>
      </c>
      <c r="L15" s="187">
        <v>1129</v>
      </c>
      <c r="M15" s="178">
        <v>2771</v>
      </c>
      <c r="N15" s="213">
        <f>J15/I15</f>
        <v>0.75093023255813951</v>
      </c>
      <c r="O15" s="178">
        <v>135</v>
      </c>
      <c r="P15" s="188">
        <f t="shared" si="1"/>
        <v>41.808609476618152</v>
      </c>
      <c r="Q15" s="189">
        <v>2300</v>
      </c>
      <c r="R15" s="179">
        <v>1867</v>
      </c>
      <c r="S15" s="187">
        <v>1568</v>
      </c>
      <c r="T15" s="187">
        <v>299</v>
      </c>
      <c r="U15" s="178">
        <v>1459</v>
      </c>
      <c r="V15" s="213">
        <f>R15/Q15</f>
        <v>0.81173913043478263</v>
      </c>
      <c r="W15" s="178">
        <v>1198</v>
      </c>
      <c r="X15" s="185">
        <f t="shared" si="4"/>
        <v>641.67113015532937</v>
      </c>
      <c r="Y15" s="190">
        <v>6606649</v>
      </c>
      <c r="Z15" s="191">
        <v>4461055</v>
      </c>
      <c r="AA15" s="178">
        <v>973023</v>
      </c>
      <c r="AB15" s="178">
        <f>576621+826106</f>
        <v>1402727</v>
      </c>
      <c r="AC15" s="179">
        <v>127</v>
      </c>
      <c r="AD15" s="178">
        <f t="shared" si="5"/>
        <v>35277.777777777781</v>
      </c>
      <c r="AE15" s="191">
        <v>3670</v>
      </c>
      <c r="AF15" s="192"/>
      <c r="AG15" s="193">
        <f t="shared" si="6"/>
        <v>24.921507064364206</v>
      </c>
      <c r="AH15" s="194">
        <f t="shared" si="7"/>
        <v>0.72017268445839877</v>
      </c>
      <c r="AI15" s="195">
        <v>17515.296999999999</v>
      </c>
      <c r="AJ15" s="190">
        <v>1370</v>
      </c>
      <c r="AK15" s="178">
        <v>242</v>
      </c>
      <c r="AL15" s="191">
        <v>1307</v>
      </c>
      <c r="AM15" s="191">
        <v>434</v>
      </c>
      <c r="AN15" s="191">
        <v>206</v>
      </c>
      <c r="AO15" s="178">
        <v>577</v>
      </c>
      <c r="AP15" s="178">
        <v>342</v>
      </c>
      <c r="AQ15" s="178">
        <f>559+347+544</f>
        <v>1450</v>
      </c>
      <c r="AR15" s="178">
        <f>SUM(AL15:AN15)</f>
        <v>1947</v>
      </c>
      <c r="AS15" s="178">
        <f t="shared" si="2"/>
        <v>5928</v>
      </c>
      <c r="AT15" s="196">
        <f>AR15/AS15</f>
        <v>0.32844129554655871</v>
      </c>
    </row>
    <row r="16" spans="1:46" x14ac:dyDescent="0.2">
      <c r="A16" s="177">
        <v>2014</v>
      </c>
      <c r="B16" s="178">
        <f>I16+Q16</f>
        <v>6600</v>
      </c>
      <c r="C16" s="179">
        <v>4518</v>
      </c>
      <c r="D16" s="180">
        <f>C16/B16</f>
        <v>0.68454545454545457</v>
      </c>
      <c r="E16" s="181">
        <v>4240</v>
      </c>
      <c r="F16" s="182">
        <v>3002</v>
      </c>
      <c r="G16" s="183">
        <v>232</v>
      </c>
      <c r="H16" s="184">
        <v>1006</v>
      </c>
      <c r="I16" s="185">
        <v>4300</v>
      </c>
      <c r="J16" s="186">
        <v>3586</v>
      </c>
      <c r="K16" s="187">
        <v>2451</v>
      </c>
      <c r="L16" s="187">
        <v>1135</v>
      </c>
      <c r="M16" s="178">
        <v>2981</v>
      </c>
      <c r="N16" s="213">
        <f>J16/I16</f>
        <v>0.83395348837209304</v>
      </c>
      <c r="O16" s="178">
        <v>535</v>
      </c>
      <c r="P16" s="188">
        <f t="shared" si="1"/>
        <v>149.19129949804795</v>
      </c>
      <c r="Q16" s="189">
        <v>2300</v>
      </c>
      <c r="R16" s="179">
        <v>932</v>
      </c>
      <c r="S16" s="187">
        <v>609</v>
      </c>
      <c r="T16" s="187">
        <v>323</v>
      </c>
      <c r="U16" s="178">
        <v>1259</v>
      </c>
      <c r="V16" s="213">
        <f>R16/Q16</f>
        <v>0.40521739130434781</v>
      </c>
      <c r="W16" s="178">
        <v>16</v>
      </c>
      <c r="X16" s="185">
        <f t="shared" si="4"/>
        <v>17.167381974248926</v>
      </c>
      <c r="Y16" s="190">
        <v>6562183</v>
      </c>
      <c r="Z16" s="191">
        <v>4699604</v>
      </c>
      <c r="AA16" s="178">
        <v>793917</v>
      </c>
      <c r="AB16" s="178">
        <f>707521+869770</f>
        <v>1577291</v>
      </c>
      <c r="AC16" s="179">
        <v>124</v>
      </c>
      <c r="AD16" s="178">
        <f t="shared" si="5"/>
        <v>34444.444444444445</v>
      </c>
      <c r="AE16" s="191">
        <v>3520</v>
      </c>
      <c r="AF16" s="192">
        <v>231.053</v>
      </c>
      <c r="AG16" s="193">
        <f t="shared" si="6"/>
        <v>27.445772465692784</v>
      </c>
      <c r="AH16" s="194">
        <f t="shared" si="7"/>
        <v>0.77910579902611776</v>
      </c>
      <c r="AI16" s="195">
        <v>18773.893</v>
      </c>
      <c r="AJ16" s="190">
        <v>1429</v>
      </c>
      <c r="AK16" s="178">
        <v>304</v>
      </c>
      <c r="AL16" s="191">
        <v>1317</v>
      </c>
      <c r="AM16" s="191">
        <v>486</v>
      </c>
      <c r="AN16" s="191">
        <v>227</v>
      </c>
      <c r="AO16" s="178">
        <v>688</v>
      </c>
      <c r="AP16" s="178">
        <v>396</v>
      </c>
      <c r="AQ16" s="178">
        <f>597+352+552</f>
        <v>1501</v>
      </c>
      <c r="AR16" s="178">
        <f>SUM(AL16:AN16)</f>
        <v>2030</v>
      </c>
      <c r="AS16" s="178">
        <f t="shared" si="2"/>
        <v>6348</v>
      </c>
      <c r="AT16" s="196">
        <f>AR16/AS16</f>
        <v>0.31978575929426589</v>
      </c>
    </row>
    <row r="17" spans="1:47" x14ac:dyDescent="0.2">
      <c r="A17" s="177">
        <v>2015</v>
      </c>
      <c r="B17" s="178">
        <f>I17+Q17</f>
        <v>6500</v>
      </c>
      <c r="C17" s="179">
        <v>4839</v>
      </c>
      <c r="D17" s="180">
        <f>C17/B17</f>
        <v>0.74446153846153851</v>
      </c>
      <c r="E17" s="181">
        <v>4131</v>
      </c>
      <c r="F17" s="182">
        <v>3039</v>
      </c>
      <c r="G17" s="183">
        <v>236</v>
      </c>
      <c r="H17" s="184">
        <v>856</v>
      </c>
      <c r="I17" s="185">
        <v>4200</v>
      </c>
      <c r="J17" s="186">
        <v>3145</v>
      </c>
      <c r="K17" s="187">
        <v>2182</v>
      </c>
      <c r="L17" s="187">
        <v>963</v>
      </c>
      <c r="M17" s="178">
        <v>2678</v>
      </c>
      <c r="N17" s="213">
        <f>J17/I17</f>
        <v>0.74880952380952381</v>
      </c>
      <c r="O17" s="178">
        <v>-1269</v>
      </c>
      <c r="P17" s="188">
        <f t="shared" si="1"/>
        <v>-403.49761526232112</v>
      </c>
      <c r="Q17" s="189">
        <v>2300</v>
      </c>
      <c r="R17" s="179">
        <v>1694</v>
      </c>
      <c r="S17" s="187">
        <v>1530</v>
      </c>
      <c r="T17" s="187">
        <f>0.41*400</f>
        <v>164</v>
      </c>
      <c r="U17" s="178">
        <v>1453</v>
      </c>
      <c r="V17" s="213">
        <f>R17/Q17</f>
        <v>0.73652173913043473</v>
      </c>
      <c r="W17" s="178">
        <v>-348</v>
      </c>
      <c r="X17" s="185">
        <f t="shared" si="4"/>
        <v>-205.43093270365998</v>
      </c>
      <c r="Y17" s="190">
        <v>6541045</v>
      </c>
      <c r="Z17" s="191">
        <v>4074721</v>
      </c>
      <c r="AA17" s="178">
        <v>758884</v>
      </c>
      <c r="AB17" s="178">
        <f>519658+540694</f>
        <v>1060352</v>
      </c>
      <c r="AC17" s="179">
        <v>128</v>
      </c>
      <c r="AD17" s="178">
        <f t="shared" si="5"/>
        <v>35555.555555555555</v>
      </c>
      <c r="AE17" s="191">
        <v>3400</v>
      </c>
      <c r="AF17" s="192">
        <v>209.47900000000001</v>
      </c>
      <c r="AG17" s="193">
        <f t="shared" si="6"/>
        <v>26.451746228559621</v>
      </c>
      <c r="AH17" s="194">
        <f t="shared" si="7"/>
        <v>0.70262450919611485</v>
      </c>
      <c r="AI17" s="195">
        <v>18418.172999999999</v>
      </c>
      <c r="AJ17" s="190">
        <v>1607</v>
      </c>
      <c r="AK17" s="178">
        <v>140</v>
      </c>
      <c r="AL17" s="191">
        <v>1241</v>
      </c>
      <c r="AM17" s="191">
        <v>505</v>
      </c>
      <c r="AN17" s="191">
        <v>271</v>
      </c>
      <c r="AO17" s="178">
        <v>696</v>
      </c>
      <c r="AP17" s="178">
        <v>382</v>
      </c>
      <c r="AQ17" s="178">
        <f>679+315+629</f>
        <v>1623</v>
      </c>
      <c r="AR17" s="178">
        <f>SUM(AL17:AN17)</f>
        <v>2017</v>
      </c>
      <c r="AS17" s="178">
        <f>SUM(AJ17:AQ17)</f>
        <v>6465</v>
      </c>
      <c r="AT17" s="196">
        <f>AR17/AS17</f>
        <v>0.31198762567672078</v>
      </c>
    </row>
    <row r="18" spans="1:47" ht="13.5" thickBot="1" x14ac:dyDescent="0.25">
      <c r="A18" s="214">
        <v>2016</v>
      </c>
      <c r="B18" s="215">
        <f>I18+Q18</f>
        <v>6100</v>
      </c>
      <c r="C18" s="216">
        <v>4771</v>
      </c>
      <c r="D18" s="217">
        <v>0.78200000000000003</v>
      </c>
      <c r="E18" s="218">
        <v>4087</v>
      </c>
      <c r="F18" s="219">
        <v>3275</v>
      </c>
      <c r="G18" s="220">
        <v>218</v>
      </c>
      <c r="H18" s="221">
        <v>594</v>
      </c>
      <c r="I18" s="222">
        <f>2900+1300</f>
        <v>4200</v>
      </c>
      <c r="J18" s="223">
        <v>3221</v>
      </c>
      <c r="K18" s="224">
        <v>2389</v>
      </c>
      <c r="L18" s="224">
        <v>832</v>
      </c>
      <c r="M18" s="215">
        <v>2736</v>
      </c>
      <c r="N18" s="225">
        <f>J18/I18</f>
        <v>0.76690476190476187</v>
      </c>
      <c r="O18" s="215">
        <v>-392</v>
      </c>
      <c r="P18" s="226">
        <f t="shared" si="1"/>
        <v>-121.70133498913381</v>
      </c>
      <c r="Q18" s="227">
        <v>1900</v>
      </c>
      <c r="R18" s="216">
        <v>1550</v>
      </c>
      <c r="S18" s="224">
        <v>1550</v>
      </c>
      <c r="T18" s="224">
        <v>0</v>
      </c>
      <c r="U18" s="215">
        <v>1351</v>
      </c>
      <c r="V18" s="225">
        <f>R18/Q18</f>
        <v>0.81578947368421051</v>
      </c>
      <c r="W18" s="215">
        <v>286</v>
      </c>
      <c r="X18" s="222">
        <f t="shared" si="4"/>
        <v>184.51612903225805</v>
      </c>
      <c r="Y18" s="228">
        <v>6603664</v>
      </c>
      <c r="Z18" s="229">
        <v>4013533</v>
      </c>
      <c r="AA18" s="215">
        <v>684041</v>
      </c>
      <c r="AB18" s="215">
        <f>505746+556957</f>
        <v>1062703</v>
      </c>
      <c r="AC18" s="216">
        <v>131</v>
      </c>
      <c r="AD18" s="215">
        <f>AC18/0.0036</f>
        <v>36388.888888888891</v>
      </c>
      <c r="AE18" s="229">
        <v>3140</v>
      </c>
      <c r="AF18" s="230">
        <v>209.63200000000001</v>
      </c>
      <c r="AG18" s="231">
        <f t="shared" si="6"/>
        <v>27.457556067910293</v>
      </c>
      <c r="AH18" s="232">
        <f t="shared" si="7"/>
        <v>0.65814294697128484</v>
      </c>
      <c r="AI18" s="233">
        <v>15475.311</v>
      </c>
      <c r="AJ18" s="228">
        <v>1378</v>
      </c>
      <c r="AK18" s="215">
        <v>98</v>
      </c>
      <c r="AL18" s="229">
        <v>1387</v>
      </c>
      <c r="AM18" s="229">
        <v>517</v>
      </c>
      <c r="AN18" s="229">
        <v>306</v>
      </c>
      <c r="AO18" s="215">
        <v>769</v>
      </c>
      <c r="AP18" s="215">
        <v>420</v>
      </c>
      <c r="AQ18" s="215">
        <f>732+365+572</f>
        <v>1669</v>
      </c>
      <c r="AR18" s="215">
        <f>SUM(AL18:AN18)</f>
        <v>2210</v>
      </c>
      <c r="AS18" s="215">
        <f>SUM(AJ18:AQ18)</f>
        <v>6544</v>
      </c>
      <c r="AT18" s="234">
        <f>AR18/AS18</f>
        <v>0.33771393643031783</v>
      </c>
    </row>
    <row r="19" spans="1:47" x14ac:dyDescent="0.2"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35"/>
    </row>
    <row r="20" spans="1:47" ht="13.5" thickBot="1" x14ac:dyDescent="0.25">
      <c r="A20" s="14" t="s">
        <v>277</v>
      </c>
      <c r="I20" s="254"/>
      <c r="AK20" s="235"/>
      <c r="AL20" s="235"/>
      <c r="AM20" s="235"/>
      <c r="AN20" s="235"/>
      <c r="AO20" s="235"/>
      <c r="AP20" s="235"/>
      <c r="AQ20" s="235"/>
      <c r="AR20" s="235"/>
      <c r="AS20" s="235"/>
      <c r="AT20" s="235"/>
      <c r="AU20" s="235"/>
    </row>
    <row r="21" spans="1:47" x14ac:dyDescent="0.2">
      <c r="A21" s="699" t="s">
        <v>227</v>
      </c>
      <c r="B21" s="701" t="s">
        <v>278</v>
      </c>
      <c r="C21" s="694"/>
      <c r="D21" s="698" t="s">
        <v>279</v>
      </c>
      <c r="E21" s="691"/>
      <c r="F21" s="697"/>
      <c r="G21" s="698" t="s">
        <v>280</v>
      </c>
      <c r="H21" s="697"/>
      <c r="AK21" s="235"/>
      <c r="AL21" s="235"/>
      <c r="AM21" s="235"/>
      <c r="AN21" s="235"/>
      <c r="AO21" s="235"/>
      <c r="AP21" s="235"/>
      <c r="AQ21" s="235"/>
      <c r="AR21" s="235"/>
      <c r="AS21" s="235"/>
      <c r="AT21" s="235"/>
      <c r="AU21" s="235"/>
    </row>
    <row r="22" spans="1:47" x14ac:dyDescent="0.2">
      <c r="A22" s="700"/>
      <c r="B22" s="177" t="s">
        <v>281</v>
      </c>
      <c r="C22" s="236" t="s">
        <v>282</v>
      </c>
      <c r="D22" s="177" t="s">
        <v>283</v>
      </c>
      <c r="E22" s="237" t="s">
        <v>284</v>
      </c>
      <c r="F22" s="236" t="s">
        <v>285</v>
      </c>
      <c r="G22" s="177" t="s">
        <v>286</v>
      </c>
      <c r="H22" s="236" t="s">
        <v>287</v>
      </c>
      <c r="AE22" s="254"/>
    </row>
    <row r="23" spans="1:47" x14ac:dyDescent="0.2">
      <c r="A23" s="700"/>
      <c r="B23" s="169" t="s">
        <v>267</v>
      </c>
      <c r="C23" s="168" t="s">
        <v>267</v>
      </c>
      <c r="D23" s="169" t="s">
        <v>267</v>
      </c>
      <c r="E23" s="167" t="s">
        <v>267</v>
      </c>
      <c r="F23" s="168" t="s">
        <v>267</v>
      </c>
      <c r="G23" s="169" t="s">
        <v>267</v>
      </c>
      <c r="H23" s="168" t="s">
        <v>267</v>
      </c>
      <c r="J23" s="242"/>
    </row>
    <row r="24" spans="1:47" x14ac:dyDescent="0.2">
      <c r="A24" s="238">
        <v>2006</v>
      </c>
      <c r="B24" s="239"/>
      <c r="C24" s="240"/>
      <c r="D24" s="239">
        <v>31175</v>
      </c>
      <c r="E24" s="241">
        <v>23260</v>
      </c>
      <c r="F24" s="240">
        <v>7915</v>
      </c>
      <c r="G24" s="239"/>
      <c r="H24" s="240"/>
    </row>
    <row r="25" spans="1:47" x14ac:dyDescent="0.2">
      <c r="A25" s="238">
        <v>2007</v>
      </c>
      <c r="B25" s="239"/>
      <c r="C25" s="240"/>
      <c r="D25" s="239">
        <v>28205</v>
      </c>
      <c r="E25" s="241">
        <v>20583</v>
      </c>
      <c r="F25" s="240">
        <v>7622</v>
      </c>
      <c r="G25" s="239"/>
      <c r="H25" s="240"/>
    </row>
    <row r="26" spans="1:47" x14ac:dyDescent="0.2">
      <c r="A26" s="238">
        <v>2008</v>
      </c>
      <c r="B26" s="239"/>
      <c r="C26" s="240"/>
      <c r="D26" s="239">
        <v>37435</v>
      </c>
      <c r="E26" s="241">
        <v>27995</v>
      </c>
      <c r="F26" s="240">
        <v>9440</v>
      </c>
      <c r="G26" s="239"/>
      <c r="H26" s="240"/>
      <c r="S26" s="689"/>
      <c r="T26" s="689"/>
      <c r="U26" s="689"/>
      <c r="V26" s="689"/>
      <c r="W26" s="689"/>
      <c r="X26" s="689"/>
    </row>
    <row r="27" spans="1:47" x14ac:dyDescent="0.2">
      <c r="A27" s="238">
        <v>2009</v>
      </c>
      <c r="B27" s="239"/>
      <c r="C27" s="240"/>
      <c r="D27" s="239">
        <v>30784</v>
      </c>
      <c r="E27" s="241">
        <v>21925</v>
      </c>
      <c r="F27" s="240">
        <v>8859</v>
      </c>
      <c r="G27" s="239"/>
      <c r="H27" s="240"/>
      <c r="AC27" s="166"/>
    </row>
    <row r="28" spans="1:47" x14ac:dyDescent="0.2">
      <c r="A28" s="238">
        <v>2010</v>
      </c>
      <c r="B28" s="239">
        <v>1837</v>
      </c>
      <c r="C28" s="240">
        <v>1255</v>
      </c>
      <c r="D28" s="239">
        <v>31718</v>
      </c>
      <c r="E28" s="241">
        <v>22556</v>
      </c>
      <c r="F28" s="240">
        <v>9162</v>
      </c>
      <c r="G28" s="239">
        <v>-743</v>
      </c>
      <c r="H28" s="240">
        <v>3506</v>
      </c>
      <c r="V28" s="242"/>
      <c r="W28" s="242"/>
      <c r="X28" s="243"/>
      <c r="Z28" s="244"/>
    </row>
    <row r="29" spans="1:47" ht="15" x14ac:dyDescent="0.25">
      <c r="A29" s="238">
        <v>2011</v>
      </c>
      <c r="B29" s="239">
        <v>126</v>
      </c>
      <c r="C29" s="240">
        <v>318</v>
      </c>
      <c r="D29" s="239">
        <v>32422</v>
      </c>
      <c r="E29" s="241">
        <v>22669</v>
      </c>
      <c r="F29" s="240">
        <v>9753</v>
      </c>
      <c r="G29" s="239">
        <v>-3240</v>
      </c>
      <c r="H29" s="240">
        <v>439</v>
      </c>
      <c r="S29" s="245"/>
      <c r="T29" s="245"/>
      <c r="U29" s="242"/>
      <c r="V29" s="242"/>
      <c r="W29" s="242"/>
      <c r="X29" s="243"/>
      <c r="Y29" s="246"/>
      <c r="Z29" s="244"/>
      <c r="AA29" s="246"/>
    </row>
    <row r="30" spans="1:47" ht="15" x14ac:dyDescent="0.25">
      <c r="A30" s="238">
        <v>2012</v>
      </c>
      <c r="B30" s="239">
        <v>-692</v>
      </c>
      <c r="C30" s="240">
        <v>-444</v>
      </c>
      <c r="D30" s="239">
        <v>30898</v>
      </c>
      <c r="E30" s="241">
        <v>22242</v>
      </c>
      <c r="F30" s="240">
        <v>8656</v>
      </c>
      <c r="G30" s="239">
        <v>420</v>
      </c>
      <c r="H30" s="240">
        <v>884</v>
      </c>
      <c r="S30" s="245"/>
      <c r="T30" s="245"/>
      <c r="U30" s="242"/>
      <c r="V30" s="242"/>
      <c r="W30" s="242"/>
      <c r="X30" s="243"/>
      <c r="Y30" s="246"/>
      <c r="Z30" s="244"/>
      <c r="AA30" s="246"/>
    </row>
    <row r="31" spans="1:47" ht="15" x14ac:dyDescent="0.25">
      <c r="A31" s="238">
        <v>2013</v>
      </c>
      <c r="B31" s="239">
        <v>-2198</v>
      </c>
      <c r="C31" s="240">
        <v>-1567</v>
      </c>
      <c r="D31" s="239">
        <v>32715</v>
      </c>
      <c r="E31" s="241">
        <v>20694</v>
      </c>
      <c r="F31" s="240">
        <v>12021</v>
      </c>
      <c r="G31" s="239">
        <v>213</v>
      </c>
      <c r="H31" s="240">
        <v>1191</v>
      </c>
      <c r="S31" s="245"/>
      <c r="T31" s="245"/>
      <c r="U31" s="242"/>
      <c r="V31" s="242"/>
      <c r="W31" s="242"/>
      <c r="X31" s="243"/>
      <c r="Y31" s="246"/>
      <c r="Z31" s="244"/>
      <c r="AA31" s="246"/>
    </row>
    <row r="32" spans="1:47" ht="15" x14ac:dyDescent="0.25">
      <c r="A32" s="238">
        <v>2014</v>
      </c>
      <c r="B32" s="239">
        <v>-618</v>
      </c>
      <c r="C32" s="240">
        <v>5</v>
      </c>
      <c r="D32" s="239">
        <v>33026</v>
      </c>
      <c r="E32" s="241">
        <v>20722</v>
      </c>
      <c r="F32" s="240">
        <v>12304</v>
      </c>
      <c r="G32" s="239">
        <v>-787</v>
      </c>
      <c r="H32" s="240">
        <v>454</v>
      </c>
      <c r="T32" s="245"/>
      <c r="U32" s="242"/>
      <c r="V32" s="242"/>
      <c r="W32" s="242"/>
      <c r="X32" s="243"/>
      <c r="Y32" s="246"/>
      <c r="Z32" s="244"/>
      <c r="AA32" s="246"/>
      <c r="AB32" s="242"/>
    </row>
    <row r="33" spans="1:29" ht="15" x14ac:dyDescent="0.25">
      <c r="A33" s="238">
        <v>2015</v>
      </c>
      <c r="B33" s="239">
        <v>-9828</v>
      </c>
      <c r="C33" s="240">
        <v>-7305</v>
      </c>
      <c r="D33" s="239">
        <v>30962</v>
      </c>
      <c r="E33" s="241">
        <v>13472</v>
      </c>
      <c r="F33" s="240">
        <v>17490</v>
      </c>
      <c r="G33" s="239">
        <v>1690</v>
      </c>
      <c r="H33" s="240">
        <v>2164</v>
      </c>
      <c r="S33" s="245"/>
      <c r="T33" s="245"/>
      <c r="U33" s="242"/>
      <c r="V33" s="242"/>
      <c r="W33" s="242"/>
      <c r="X33" s="243"/>
      <c r="Y33" s="246"/>
      <c r="Z33" s="244"/>
      <c r="AA33" s="246"/>
      <c r="AB33" s="242"/>
    </row>
    <row r="34" spans="1:29" ht="15.75" thickBot="1" x14ac:dyDescent="0.3">
      <c r="A34" s="247">
        <v>2016</v>
      </c>
      <c r="B34" s="248">
        <v>-4687</v>
      </c>
      <c r="C34" s="249">
        <v>-5260</v>
      </c>
      <c r="D34" s="248">
        <v>30646</v>
      </c>
      <c r="E34" s="250">
        <v>13543</v>
      </c>
      <c r="F34" s="249">
        <v>17103</v>
      </c>
      <c r="G34" s="248">
        <v>-496</v>
      </c>
      <c r="H34" s="249">
        <v>1660</v>
      </c>
      <c r="V34" s="242"/>
      <c r="W34" s="242"/>
      <c r="X34" s="243"/>
      <c r="Y34" s="246"/>
      <c r="Z34" s="244"/>
      <c r="AA34" s="246"/>
      <c r="AB34" s="242"/>
    </row>
    <row r="35" spans="1:29" ht="15" x14ac:dyDescent="0.25">
      <c r="V35" s="242"/>
      <c r="W35" s="242"/>
      <c r="X35" s="243"/>
      <c r="Y35" s="246"/>
      <c r="Z35" s="244"/>
      <c r="AA35" s="246"/>
      <c r="AB35" s="242"/>
    </row>
    <row r="36" spans="1:29" x14ac:dyDescent="0.2">
      <c r="AC36" s="251"/>
    </row>
    <row r="37" spans="1:29" x14ac:dyDescent="0.2">
      <c r="AC37" s="251"/>
    </row>
    <row r="38" spans="1:29" x14ac:dyDescent="0.2">
      <c r="F38" s="14">
        <v>24</v>
      </c>
      <c r="AC38" s="251"/>
    </row>
    <row r="39" spans="1:29" ht="15" x14ac:dyDescent="0.25">
      <c r="D39" s="14">
        <v>2012</v>
      </c>
      <c r="F39" s="14" t="s">
        <v>13</v>
      </c>
      <c r="G39" s="14" t="s">
        <v>248</v>
      </c>
      <c r="H39" s="14" t="s">
        <v>14</v>
      </c>
      <c r="K39" s="14" t="s">
        <v>5</v>
      </c>
      <c r="S39" s="245"/>
      <c r="T39" s="245"/>
      <c r="U39" s="242"/>
      <c r="AC39" s="251"/>
    </row>
    <row r="40" spans="1:29" x14ac:dyDescent="0.2">
      <c r="D40" s="14" t="s">
        <v>288</v>
      </c>
      <c r="F40" s="14" t="s">
        <v>289</v>
      </c>
      <c r="G40" s="14" t="s">
        <v>289</v>
      </c>
      <c r="H40" s="14" t="s">
        <v>290</v>
      </c>
      <c r="N40" s="14">
        <v>2008</v>
      </c>
      <c r="O40" s="14">
        <v>2009</v>
      </c>
      <c r="P40" s="14">
        <v>2010</v>
      </c>
      <c r="Q40" s="14">
        <v>2011</v>
      </c>
      <c r="R40" s="14">
        <v>2012</v>
      </c>
      <c r="S40" s="14">
        <v>2013</v>
      </c>
      <c r="T40" s="14">
        <v>2014</v>
      </c>
      <c r="U40" s="14">
        <v>2015</v>
      </c>
      <c r="V40" s="14">
        <v>2016</v>
      </c>
    </row>
    <row r="41" spans="1:29" x14ac:dyDescent="0.2">
      <c r="C41" s="14" t="s">
        <v>291</v>
      </c>
      <c r="D41" s="242">
        <f>J14*K15/J15</f>
        <v>2311.3657479095696</v>
      </c>
      <c r="K41" s="14" t="s">
        <v>139</v>
      </c>
      <c r="L41" s="14" t="s">
        <v>610</v>
      </c>
      <c r="S41" s="14">
        <f>INDEX($L$8:$L$18,MATCH(S$40,$A$8:$A$18,0))</f>
        <v>1129</v>
      </c>
      <c r="T41" s="14">
        <f>INDEX($L$8:$L$18,MATCH(T$40,$A$8:$A$18,0))</f>
        <v>1135</v>
      </c>
      <c r="U41" s="14">
        <f>INDEX($L$8:$L$18,MATCH(U$40,$A$8:$A$18,0))</f>
        <v>963</v>
      </c>
      <c r="V41" s="14">
        <f>INDEX($L$8:$L$18,MATCH(V$40,$A$8:$A$18,0))</f>
        <v>832</v>
      </c>
    </row>
    <row r="42" spans="1:29" x14ac:dyDescent="0.2">
      <c r="C42" s="14" t="s">
        <v>139</v>
      </c>
      <c r="D42" s="242">
        <f>J14-D41</f>
        <v>1242.6342520904304</v>
      </c>
      <c r="K42" s="14" t="s">
        <v>294</v>
      </c>
      <c r="L42" s="14" t="s">
        <v>610</v>
      </c>
      <c r="S42" s="14">
        <f>INDEX($K$8:$K$18,MATCH(S$40,$A$8:$A$18,0))</f>
        <v>2100</v>
      </c>
      <c r="T42" s="14">
        <f>INDEX($K$8:$K$18,MATCH(T$40,$A$8:$A$18,0))</f>
        <v>2451</v>
      </c>
      <c r="U42" s="14">
        <f>INDEX($K$8:$K$18,MATCH(U$40,$A$8:$A$18,0))</f>
        <v>2182</v>
      </c>
      <c r="V42" s="14">
        <f>INDEX($K$8:$K$18,MATCH(V$40,$A$8:$A$18,0))</f>
        <v>2389</v>
      </c>
    </row>
    <row r="43" spans="1:29" x14ac:dyDescent="0.2">
      <c r="C43" s="14" t="s">
        <v>292</v>
      </c>
      <c r="D43" s="243">
        <f>R14*(S15/R15)</f>
        <v>1290.0096411355116</v>
      </c>
      <c r="K43" s="14" t="s">
        <v>245</v>
      </c>
      <c r="L43" s="14" t="s">
        <v>519</v>
      </c>
      <c r="S43" s="14">
        <f>INDEX($S$8:$S$18,MATCH(S$40,$A$8:$A$18,0))</f>
        <v>1568</v>
      </c>
      <c r="T43" s="14">
        <f>INDEX($S$8:$S$18,MATCH(T$40,$A$8:$A$18,0))</f>
        <v>609</v>
      </c>
      <c r="U43" s="14">
        <f>INDEX($S$8:$S$18,MATCH(U$40,$A$8:$A$18,0))</f>
        <v>1530</v>
      </c>
      <c r="V43" s="14">
        <f>INDEX($S$8:$S$18,MATCH(V$40,$A$8:$A$18,0))</f>
        <v>1550</v>
      </c>
    </row>
    <row r="44" spans="1:29" x14ac:dyDescent="0.2">
      <c r="C44" s="14" t="s">
        <v>293</v>
      </c>
      <c r="D44" s="242">
        <f>R14-D43</f>
        <v>245.99035886448837</v>
      </c>
      <c r="K44" s="14" t="s">
        <v>246</v>
      </c>
      <c r="L44" s="14" t="s">
        <v>519</v>
      </c>
      <c r="S44" s="14">
        <f>INDEX($T$8:$T$18,MATCH(S$40,$A$8:$A$18,0))</f>
        <v>299</v>
      </c>
      <c r="T44" s="14">
        <f>INDEX($T$8:$T$18,MATCH(T$40,$A$8:$A$18,0))</f>
        <v>323</v>
      </c>
      <c r="U44" s="14">
        <f>INDEX($T$8:$T$18,MATCH(U$40,$A$8:$A$18,0))</f>
        <v>164</v>
      </c>
      <c r="V44" s="14">
        <f>INDEX($T$8:$T$18,MATCH(V$40,$A$8:$A$18,0))</f>
        <v>0</v>
      </c>
    </row>
    <row r="45" spans="1:29" x14ac:dyDescent="0.2">
      <c r="C45" s="252" t="s">
        <v>3</v>
      </c>
      <c r="D45" s="253">
        <f>SUM(D41:D44)</f>
        <v>5090</v>
      </c>
      <c r="E45" s="14">
        <v>2012</v>
      </c>
      <c r="F45" s="253">
        <f>Z14</f>
        <v>4512542</v>
      </c>
      <c r="G45" s="253">
        <f>AA14</f>
        <v>913927</v>
      </c>
      <c r="H45" s="253">
        <f>AE14</f>
        <v>3920</v>
      </c>
    </row>
    <row r="46" spans="1:29" x14ac:dyDescent="0.2">
      <c r="F46" s="343">
        <f>F45*24/1000</f>
        <v>108301.008</v>
      </c>
      <c r="H46" s="346">
        <f>H45*3.6/1000</f>
        <v>14.112</v>
      </c>
      <c r="I46" s="14" t="s">
        <v>143</v>
      </c>
    </row>
    <row r="47" spans="1:29" x14ac:dyDescent="0.2">
      <c r="E47" s="14">
        <v>2016</v>
      </c>
      <c r="F47" s="253">
        <f>Z18</f>
        <v>4013533</v>
      </c>
      <c r="G47" s="253">
        <f>AA18</f>
        <v>684041</v>
      </c>
      <c r="H47" s="253">
        <f>AB18</f>
        <v>1062703</v>
      </c>
      <c r="I47" s="344"/>
    </row>
  </sheetData>
  <mergeCells count="15">
    <mergeCell ref="I5:P5"/>
    <mergeCell ref="Q5:X5"/>
    <mergeCell ref="Y5:AB5"/>
    <mergeCell ref="A21:A23"/>
    <mergeCell ref="B21:C21"/>
    <mergeCell ref="D21:F21"/>
    <mergeCell ref="G21:H21"/>
    <mergeCell ref="A5:A7"/>
    <mergeCell ref="B5:E5"/>
    <mergeCell ref="F5:H5"/>
    <mergeCell ref="S26:T26"/>
    <mergeCell ref="U26:X26"/>
    <mergeCell ref="AC5:AF5"/>
    <mergeCell ref="AJ5:AT5"/>
    <mergeCell ref="AC6:AD6"/>
  </mergeCells>
  <pageMargins left="0.7" right="0.7" top="0.75" bottom="0.75" header="0.3" footer="0.3"/>
  <pageSetup paperSize="9" orientation="portrait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F81"/>
  <sheetViews>
    <sheetView topLeftCell="A49" workbookViewId="0"/>
  </sheetViews>
  <sheetFormatPr defaultRowHeight="15" x14ac:dyDescent="0.25"/>
  <cols>
    <col min="2" max="2" width="14" bestFit="1" customWidth="1"/>
    <col min="4" max="4" width="12.5703125" customWidth="1"/>
    <col min="8" max="8" width="9.7109375" bestFit="1" customWidth="1"/>
    <col min="11" max="11" width="10.85546875" customWidth="1"/>
    <col min="13" max="13" width="10.85546875" customWidth="1"/>
    <col min="15" max="15" width="11" customWidth="1"/>
    <col min="20" max="21" width="10.85546875" customWidth="1"/>
    <col min="22" max="26" width="10.85546875" bestFit="1" customWidth="1"/>
    <col min="28" max="28" width="10.85546875" customWidth="1"/>
    <col min="29" max="29" width="12.28515625" bestFit="1" customWidth="1"/>
    <col min="30" max="30" width="9.7109375" bestFit="1" customWidth="1"/>
    <col min="32" max="32" width="12.28515625" bestFit="1" customWidth="1"/>
  </cols>
  <sheetData>
    <row r="2" spans="3:3" x14ac:dyDescent="0.25">
      <c r="C2" s="132" t="s">
        <v>193</v>
      </c>
    </row>
    <row r="20" spans="32:32" x14ac:dyDescent="0.25">
      <c r="AF20" s="137"/>
    </row>
    <row r="21" spans="32:32" x14ac:dyDescent="0.25">
      <c r="AF21" s="137"/>
    </row>
    <row r="40" spans="3:17" x14ac:dyDescent="0.25">
      <c r="C40" s="15"/>
      <c r="D40" s="16"/>
      <c r="E40" s="705" t="s">
        <v>203</v>
      </c>
      <c r="F40" s="705"/>
      <c r="G40" s="705"/>
      <c r="H40" s="705"/>
      <c r="I40" s="705"/>
      <c r="J40" s="705"/>
      <c r="K40" s="705"/>
      <c r="L40" s="16"/>
      <c r="M40" s="705" t="s">
        <v>204</v>
      </c>
      <c r="N40" s="705"/>
      <c r="O40" s="706"/>
    </row>
    <row r="41" spans="3:17" x14ac:dyDescent="0.25">
      <c r="C41" s="4"/>
      <c r="D41" s="12"/>
      <c r="E41" s="19" t="s">
        <v>13</v>
      </c>
      <c r="F41" s="19" t="s">
        <v>11</v>
      </c>
      <c r="G41" s="19" t="s">
        <v>195</v>
      </c>
      <c r="H41" s="19" t="s">
        <v>197</v>
      </c>
      <c r="I41" s="19" t="s">
        <v>202</v>
      </c>
      <c r="J41" s="19" t="s">
        <v>198</v>
      </c>
      <c r="K41" s="19" t="s">
        <v>196</v>
      </c>
      <c r="L41" s="12"/>
      <c r="M41" s="19" t="s">
        <v>196</v>
      </c>
      <c r="N41" s="19" t="s">
        <v>201</v>
      </c>
      <c r="O41" s="146" t="s">
        <v>206</v>
      </c>
    </row>
    <row r="42" spans="3:17" x14ac:dyDescent="0.25">
      <c r="C42" s="707" t="s">
        <v>93</v>
      </c>
      <c r="D42" s="19" t="s">
        <v>194</v>
      </c>
      <c r="E42" s="1">
        <v>675000</v>
      </c>
      <c r="F42" s="1">
        <v>100000</v>
      </c>
      <c r="G42" s="1">
        <v>894000</v>
      </c>
      <c r="H42" s="1">
        <v>296000</v>
      </c>
      <c r="I42" s="1">
        <v>223000</v>
      </c>
      <c r="J42" s="1"/>
      <c r="K42" s="1"/>
      <c r="L42" s="12"/>
      <c r="M42" s="1">
        <v>760000</v>
      </c>
      <c r="N42" s="12" t="s">
        <v>199</v>
      </c>
      <c r="O42" s="5"/>
    </row>
    <row r="43" spans="3:17" x14ac:dyDescent="0.25">
      <c r="C43" s="707"/>
      <c r="D43" s="19" t="s">
        <v>200</v>
      </c>
      <c r="E43" s="1"/>
      <c r="F43" s="1"/>
      <c r="G43" s="1">
        <v>596000</v>
      </c>
      <c r="H43" s="1"/>
      <c r="I43" s="1">
        <v>297000</v>
      </c>
      <c r="J43" s="1" t="s">
        <v>199</v>
      </c>
      <c r="K43" s="1"/>
      <c r="L43" s="12"/>
      <c r="M43" s="1">
        <v>640000</v>
      </c>
      <c r="N43" s="12"/>
      <c r="O43" s="5"/>
    </row>
    <row r="44" spans="3:17" x14ac:dyDescent="0.25">
      <c r="C44" s="7"/>
      <c r="D44" s="8"/>
      <c r="E44" s="134"/>
      <c r="F44" s="134"/>
      <c r="G44" s="134"/>
      <c r="H44" s="134"/>
      <c r="I44" s="134"/>
      <c r="J44" s="134"/>
      <c r="K44" s="134"/>
      <c r="L44" s="8"/>
      <c r="M44" s="135">
        <f>SUM(M42:M43)</f>
        <v>1400000</v>
      </c>
      <c r="N44" s="8"/>
      <c r="O44" s="9"/>
    </row>
    <row r="45" spans="3:17" ht="30" x14ac:dyDescent="0.25">
      <c r="C45" s="138" t="s">
        <v>205</v>
      </c>
      <c r="D45" s="8"/>
      <c r="E45" s="8"/>
      <c r="F45" s="8"/>
      <c r="G45" s="8"/>
      <c r="H45" s="8"/>
      <c r="I45" s="8"/>
      <c r="J45" s="8"/>
      <c r="K45" s="134">
        <f>M44</f>
        <v>1400000</v>
      </c>
      <c r="L45" s="8"/>
      <c r="M45" s="8"/>
      <c r="N45" s="8"/>
      <c r="O45" s="139">
        <v>1318265</v>
      </c>
    </row>
    <row r="46" spans="3:17" x14ac:dyDescent="0.25">
      <c r="C46" s="4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5"/>
    </row>
    <row r="47" spans="3:17" x14ac:dyDescent="0.25">
      <c r="C47" s="140" t="s">
        <v>207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141">
        <v>1239864</v>
      </c>
      <c r="Q47">
        <f>O47/M44</f>
        <v>0.88561714285714288</v>
      </c>
    </row>
    <row r="51" spans="2:21" x14ac:dyDescent="0.25">
      <c r="G51" t="s">
        <v>349</v>
      </c>
      <c r="H51" s="347">
        <f>SUM(G42:G43,I42:I43)</f>
        <v>2010000</v>
      </c>
    </row>
    <row r="52" spans="2:21" x14ac:dyDescent="0.25">
      <c r="G52" t="s">
        <v>196</v>
      </c>
      <c r="H52" s="347">
        <f>M44</f>
        <v>1400000</v>
      </c>
      <c r="I52">
        <f>H52/H51</f>
        <v>0.69651741293532343</v>
      </c>
    </row>
    <row r="54" spans="2:21" x14ac:dyDescent="0.25">
      <c r="B54" t="s">
        <v>385</v>
      </c>
      <c r="G54" t="s">
        <v>194</v>
      </c>
      <c r="H54" s="347">
        <f>M42</f>
        <v>760000</v>
      </c>
      <c r="I54" s="137">
        <f>H54/SUM(H54:H55)</f>
        <v>0.54285714285714282</v>
      </c>
    </row>
    <row r="55" spans="2:21" x14ac:dyDescent="0.25">
      <c r="B55" t="s">
        <v>386</v>
      </c>
      <c r="G55" t="s">
        <v>387</v>
      </c>
      <c r="H55" s="347">
        <f>M43</f>
        <v>640000</v>
      </c>
      <c r="I55" s="137">
        <f>1-I54</f>
        <v>0.45714285714285718</v>
      </c>
    </row>
    <row r="58" spans="2:21" x14ac:dyDescent="0.25">
      <c r="C58" t="s">
        <v>414</v>
      </c>
    </row>
    <row r="60" spans="2:21" x14ac:dyDescent="0.25">
      <c r="C60" t="s">
        <v>13</v>
      </c>
      <c r="D60" s="368">
        <f>E42/O47</f>
        <v>0.54441454869243722</v>
      </c>
      <c r="E60" t="s">
        <v>415</v>
      </c>
      <c r="H60" s="349">
        <f>D60*24</f>
        <v>13.065949168618493</v>
      </c>
      <c r="I60" s="349"/>
      <c r="J60" s="349"/>
      <c r="K60" s="349"/>
      <c r="L60" s="349"/>
      <c r="M60" s="349"/>
      <c r="N60" s="349"/>
      <c r="O60" s="349"/>
      <c r="P60" s="349"/>
      <c r="Q60" s="349"/>
      <c r="R60" s="349"/>
      <c r="S60" s="349"/>
      <c r="T60" s="349"/>
      <c r="U60" s="349">
        <f>$D$60*U59</f>
        <v>0</v>
      </c>
    </row>
    <row r="61" spans="2:21" x14ac:dyDescent="0.25">
      <c r="C61" t="s">
        <v>11</v>
      </c>
      <c r="D61" s="368">
        <f>F42/O47</f>
        <v>8.0654007213694409E-2</v>
      </c>
      <c r="E61" t="s">
        <v>415</v>
      </c>
      <c r="H61" s="349">
        <f>D61*30</f>
        <v>2.4196202164108325</v>
      </c>
    </row>
    <row r="63" spans="2:21" x14ac:dyDescent="0.25">
      <c r="H63" s="349">
        <f>SUM(H60:H61)</f>
        <v>15.485569385029326</v>
      </c>
    </row>
    <row r="66" spans="1:14" ht="21" x14ac:dyDescent="0.35">
      <c r="A66" s="384" t="s">
        <v>154</v>
      </c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</row>
    <row r="68" spans="1:14" x14ac:dyDescent="0.25">
      <c r="B68" t="s">
        <v>437</v>
      </c>
    </row>
    <row r="69" spans="1:14" x14ac:dyDescent="0.25">
      <c r="B69" s="136" t="s">
        <v>444</v>
      </c>
    </row>
    <row r="70" spans="1:14" x14ac:dyDescent="0.25">
      <c r="B70" s="385" t="s">
        <v>446</v>
      </c>
    </row>
    <row r="72" spans="1:14" x14ac:dyDescent="0.25">
      <c r="B72" s="367">
        <v>0.26</v>
      </c>
      <c r="C72" t="s">
        <v>438</v>
      </c>
    </row>
    <row r="73" spans="1:14" x14ac:dyDescent="0.25">
      <c r="B73">
        <v>1.5</v>
      </c>
      <c r="C73" t="s">
        <v>441</v>
      </c>
      <c r="H73">
        <v>12.3</v>
      </c>
      <c r="I73" t="s">
        <v>440</v>
      </c>
    </row>
    <row r="74" spans="1:14" x14ac:dyDescent="0.25">
      <c r="B74">
        <v>949570</v>
      </c>
      <c r="C74" t="s">
        <v>439</v>
      </c>
    </row>
    <row r="75" spans="1:14" x14ac:dyDescent="0.25">
      <c r="A75" t="s">
        <v>445</v>
      </c>
    </row>
    <row r="76" spans="1:14" x14ac:dyDescent="0.25">
      <c r="B76">
        <f>B73*B74</f>
        <v>1424355</v>
      </c>
      <c r="C76" t="s">
        <v>601</v>
      </c>
    </row>
    <row r="77" spans="1:14" x14ac:dyDescent="0.25">
      <c r="B77" s="133">
        <f>B76/B72</f>
        <v>5478288.461538461</v>
      </c>
      <c r="C77" t="s">
        <v>443</v>
      </c>
    </row>
    <row r="79" spans="1:14" x14ac:dyDescent="0.25">
      <c r="B79" s="349">
        <f>B77*H73/1000</f>
        <v>67382.948076923072</v>
      </c>
      <c r="C79" t="s">
        <v>442</v>
      </c>
    </row>
    <row r="81" spans="2:3" x14ac:dyDescent="0.25">
      <c r="B81" s="349">
        <f>B79*3.6/1000</f>
        <v>242.57861307692306</v>
      </c>
      <c r="C81" t="s">
        <v>331</v>
      </c>
    </row>
  </sheetData>
  <mergeCells count="3">
    <mergeCell ref="E40:K40"/>
    <mergeCell ref="M40:O40"/>
    <mergeCell ref="C42:C43"/>
  </mergeCells>
  <hyperlinks>
    <hyperlink ref="C2" r:id="rId1" xr:uid="{00000000-0004-0000-0400-000000000000}"/>
  </hyperlinks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934E5-4CE4-459A-8BAE-06B64A14A5E4}">
  <dimension ref="W28:W29"/>
  <sheetViews>
    <sheetView topLeftCell="A10" workbookViewId="0"/>
  </sheetViews>
  <sheetFormatPr defaultRowHeight="15" x14ac:dyDescent="0.25"/>
  <sheetData>
    <row r="28" spans="23:23" x14ac:dyDescent="0.25">
      <c r="W28">
        <f>250+120</f>
        <v>370</v>
      </c>
    </row>
    <row r="29" spans="23:23" x14ac:dyDescent="0.25">
      <c r="W29">
        <f>W28*12</f>
        <v>4440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I17"/>
  <sheetViews>
    <sheetView workbookViewId="0">
      <selection activeCell="F24" sqref="F24"/>
    </sheetView>
  </sheetViews>
  <sheetFormatPr defaultRowHeight="15" x14ac:dyDescent="0.25"/>
  <sheetData>
    <row r="2" spans="2:9" x14ac:dyDescent="0.25">
      <c r="B2" t="s">
        <v>346</v>
      </c>
    </row>
    <row r="3" spans="2:9" x14ac:dyDescent="0.25">
      <c r="B3" t="s">
        <v>347</v>
      </c>
    </row>
    <row r="6" spans="2:9" x14ac:dyDescent="0.25">
      <c r="B6" t="s">
        <v>600</v>
      </c>
    </row>
    <row r="7" spans="2:9" x14ac:dyDescent="0.25">
      <c r="B7" t="s">
        <v>348</v>
      </c>
    </row>
    <row r="8" spans="2:9" x14ac:dyDescent="0.25">
      <c r="E8" t="s">
        <v>335</v>
      </c>
    </row>
    <row r="9" spans="2:9" x14ac:dyDescent="0.25">
      <c r="C9" s="136" t="s">
        <v>332</v>
      </c>
    </row>
    <row r="10" spans="2:9" x14ac:dyDescent="0.25">
      <c r="C10" t="s">
        <v>333</v>
      </c>
      <c r="D10">
        <v>1600</v>
      </c>
      <c r="E10" t="s">
        <v>334</v>
      </c>
      <c r="I10" t="s">
        <v>505</v>
      </c>
    </row>
    <row r="11" spans="2:9" x14ac:dyDescent="0.25">
      <c r="C11" t="s">
        <v>336</v>
      </c>
      <c r="D11">
        <v>275</v>
      </c>
      <c r="E11" t="s">
        <v>337</v>
      </c>
      <c r="H11">
        <v>30</v>
      </c>
      <c r="I11">
        <f>H11*D11/1000</f>
        <v>8.25</v>
      </c>
    </row>
    <row r="12" spans="2:9" x14ac:dyDescent="0.25">
      <c r="C12" t="s">
        <v>338</v>
      </c>
      <c r="D12">
        <v>205</v>
      </c>
      <c r="E12" t="s">
        <v>337</v>
      </c>
      <c r="H12">
        <v>24</v>
      </c>
      <c r="I12">
        <f>H12*D12/1000</f>
        <v>4.92</v>
      </c>
    </row>
    <row r="13" spans="2:9" x14ac:dyDescent="0.25">
      <c r="C13" t="s">
        <v>339</v>
      </c>
      <c r="D13">
        <v>1000</v>
      </c>
      <c r="E13" t="s">
        <v>340</v>
      </c>
    </row>
    <row r="15" spans="2:9" x14ac:dyDescent="0.25">
      <c r="C15" s="136" t="s">
        <v>341</v>
      </c>
    </row>
    <row r="16" spans="2:9" x14ac:dyDescent="0.25">
      <c r="C16" t="s">
        <v>342</v>
      </c>
      <c r="D16">
        <v>12000</v>
      </c>
      <c r="E16" t="s">
        <v>343</v>
      </c>
    </row>
    <row r="17" spans="3:5" x14ac:dyDescent="0.25">
      <c r="C17" t="s">
        <v>344</v>
      </c>
      <c r="D17">
        <v>320</v>
      </c>
      <c r="E17" t="s">
        <v>345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J27"/>
  <sheetViews>
    <sheetView topLeftCell="A10" workbookViewId="0"/>
  </sheetViews>
  <sheetFormatPr defaultRowHeight="15" x14ac:dyDescent="0.25"/>
  <cols>
    <col min="2" max="2" width="10.85546875" bestFit="1" customWidth="1"/>
  </cols>
  <sheetData>
    <row r="2" spans="2:10" x14ac:dyDescent="0.25">
      <c r="B2" t="s">
        <v>211</v>
      </c>
    </row>
    <row r="3" spans="2:10" x14ac:dyDescent="0.25">
      <c r="B3" t="s">
        <v>210</v>
      </c>
    </row>
    <row r="4" spans="2:10" x14ac:dyDescent="0.25">
      <c r="B4" s="147" t="s">
        <v>599</v>
      </c>
    </row>
    <row r="5" spans="2:10" x14ac:dyDescent="0.25">
      <c r="B5" t="s">
        <v>212</v>
      </c>
    </row>
    <row r="6" spans="2:10" x14ac:dyDescent="0.25">
      <c r="J6" t="s">
        <v>218</v>
      </c>
    </row>
    <row r="8" spans="2:10" x14ac:dyDescent="0.25">
      <c r="B8" s="149" t="s">
        <v>214</v>
      </c>
    </row>
    <row r="9" spans="2:10" x14ac:dyDescent="0.25">
      <c r="B9" t="s">
        <v>213</v>
      </c>
    </row>
    <row r="11" spans="2:10" x14ac:dyDescent="0.25">
      <c r="B11" s="148" t="s">
        <v>220</v>
      </c>
    </row>
    <row r="12" spans="2:10" x14ac:dyDescent="0.25">
      <c r="C12" t="s">
        <v>221</v>
      </c>
    </row>
    <row r="13" spans="2:10" x14ac:dyDescent="0.25">
      <c r="C13" t="s">
        <v>219</v>
      </c>
    </row>
    <row r="15" spans="2:10" x14ac:dyDescent="0.25">
      <c r="B15" s="148" t="s">
        <v>222</v>
      </c>
    </row>
    <row r="16" spans="2:10" x14ac:dyDescent="0.25">
      <c r="C16" t="s">
        <v>217</v>
      </c>
    </row>
    <row r="19" spans="2:3" x14ac:dyDescent="0.25">
      <c r="B19" s="149" t="s">
        <v>215</v>
      </c>
    </row>
    <row r="21" spans="2:3" x14ac:dyDescent="0.25">
      <c r="B21" s="133">
        <v>900000</v>
      </c>
      <c r="C21" t="s">
        <v>216</v>
      </c>
    </row>
    <row r="25" spans="2:3" x14ac:dyDescent="0.25">
      <c r="B25" s="136" t="s">
        <v>353</v>
      </c>
    </row>
    <row r="26" spans="2:3" x14ac:dyDescent="0.25">
      <c r="B26">
        <v>1915</v>
      </c>
      <c r="C26" t="s">
        <v>351</v>
      </c>
    </row>
    <row r="27" spans="2:3" x14ac:dyDescent="0.25">
      <c r="B27">
        <v>478</v>
      </c>
      <c r="C27" t="s">
        <v>352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Log</vt:lpstr>
      <vt:lpstr>HDRI scenario</vt:lpstr>
      <vt:lpstr>PAMS</vt:lpstr>
      <vt:lpstr>H-DRI literature and calcs</vt:lpstr>
      <vt:lpstr>Summary Hydrogen DRI new</vt:lpstr>
      <vt:lpstr>Summary Hydrogen DRI</vt:lpstr>
      <vt:lpstr>HDRI-Items</vt:lpstr>
      <vt:lpstr>HDRI-TSData</vt:lpstr>
      <vt:lpstr>HDRI-TIDData</vt:lpstr>
      <vt:lpstr>IS-Items</vt:lpstr>
      <vt:lpstr>IS-TSData</vt:lpstr>
      <vt:lpstr>IS-TIDData</vt:lpstr>
      <vt:lpstr>Iron &amp; Steel</vt:lpstr>
      <vt:lpstr>I&amp;S SATIM input</vt:lpstr>
      <vt:lpstr>Energy Intensity</vt:lpstr>
      <vt:lpstr>I&amp;S capacity + production</vt:lpstr>
      <vt:lpstr>Energy and Emissions</vt:lpstr>
      <vt:lpstr>Scrap</vt:lpstr>
      <vt:lpstr>Coke</vt:lpstr>
      <vt:lpstr>TNapp - Opex sheet</vt:lpstr>
      <vt:lpstr>TNapp - Capex sheet</vt:lpstr>
      <vt:lpstr>TNapp - I&amp;S intensity</vt:lpstr>
      <vt:lpstr>AMSA reports</vt:lpstr>
      <vt:lpstr>AcelorMittal sus report data</vt:lpstr>
      <vt:lpstr>AMSA - Saldanha</vt:lpstr>
      <vt:lpstr>AMSA - Vndbjl park</vt:lpstr>
      <vt:lpstr>Blast furnace JPN info</vt:lpstr>
      <vt:lpstr>Evraz Highveld</vt:lpstr>
    </vt:vector>
  </TitlesOfParts>
  <Company>University of Cape Town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Bryce McCall</dc:creator>
  <cp:lastModifiedBy>Bryce Mccall</cp:lastModifiedBy>
  <dcterms:created xsi:type="dcterms:W3CDTF">2019-12-05T07:41:15Z</dcterms:created>
  <dcterms:modified xsi:type="dcterms:W3CDTF">2021-09-25T15:09:21Z</dcterms:modified>
</cp:coreProperties>
</file>